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11640" tabRatio="811" firstSheet="44" activeTab="49"/>
  </bookViews>
  <sheets>
    <sheet name="Ед цени" sheetId="1" r:id="rId1"/>
    <sheet name="OСС по поз. 1.1 от ЦП" sheetId="2" r:id="rId2"/>
    <sheet name="01-Клон 17-I" sheetId="3" r:id="rId3"/>
    <sheet name="02-Клон 19-I" sheetId="4" r:id="rId4"/>
    <sheet name="03-Клон 20-I" sheetId="5" r:id="rId5"/>
    <sheet name="04-Гл.клон II" sheetId="6" r:id="rId6"/>
    <sheet name="05-Гл.клон III" sheetId="7" r:id="rId7"/>
    <sheet name="06-Клон 3-III" sheetId="8" r:id="rId8"/>
    <sheet name="07-Клон 4-III" sheetId="9" r:id="rId9"/>
    <sheet name="08-Гл.клон IV" sheetId="10" r:id="rId10"/>
    <sheet name="09-Отл.канал 6" sheetId="11" r:id="rId11"/>
    <sheet name="10-Клон 39-IV" sheetId="12" r:id="rId12"/>
    <sheet name="11-Клон 42-IV" sheetId="13" r:id="rId13"/>
    <sheet name="12-Клон 43-IV" sheetId="14" r:id="rId14"/>
    <sheet name="13-Клон 45-IV" sheetId="15" r:id="rId15"/>
    <sheet name="14-Клон 46-IV" sheetId="16" r:id="rId16"/>
    <sheet name="15-Гл.клон V" sheetId="17" r:id="rId17"/>
    <sheet name="16-Клон 5-V" sheetId="18" r:id="rId18"/>
    <sheet name="17-Клон 6-V" sheetId="19" r:id="rId19"/>
    <sheet name="18-Клон 9-V" sheetId="20" r:id="rId20"/>
    <sheet name="19-Гл.клон VI" sheetId="21" r:id="rId21"/>
    <sheet name="20-Клон 1-VII" sheetId="22" r:id="rId22"/>
    <sheet name="21-Гл.клон VIII" sheetId="23" r:id="rId23"/>
    <sheet name="22-Клон 2-VIII" sheetId="24" r:id="rId24"/>
    <sheet name="23-Клон 3-VIII" sheetId="25" r:id="rId25"/>
    <sheet name="24-Клон 6-VIII" sheetId="26" r:id="rId26"/>
    <sheet name="25-Клон 10-VIII" sheetId="27" r:id="rId27"/>
    <sheet name="26-Гл.клон IX" sheetId="28" r:id="rId28"/>
    <sheet name="27-Клон 5-IX" sheetId="29" r:id="rId29"/>
    <sheet name="28-Клон 9-IX" sheetId="30" r:id="rId30"/>
    <sheet name="29-Клон 10-IX" sheetId="31" r:id="rId31"/>
    <sheet name="30-Клон 11-IX" sheetId="32" r:id="rId32"/>
    <sheet name="31-Клон 12-IX" sheetId="33" r:id="rId33"/>
    <sheet name="32-Клон 14-IX" sheetId="34" r:id="rId34"/>
    <sheet name="33-Клон 16-IX" sheetId="35" r:id="rId35"/>
    <sheet name="34-Клон 4-X" sheetId="36" r:id="rId36"/>
    <sheet name="35-Клон 7" sheetId="37" r:id="rId37"/>
    <sheet name="36-Клон 8" sheetId="38" r:id="rId38"/>
    <sheet name="37-Клон 9" sheetId="39" r:id="rId39"/>
    <sheet name="38-Клон 10" sheetId="40" r:id="rId40"/>
    <sheet name="39-Клон 28" sheetId="41" r:id="rId41"/>
    <sheet name="40-Клон 13" sheetId="42" r:id="rId42"/>
    <sheet name="41-Отл.к-л 7 и напор КПС Север" sheetId="43" r:id="rId43"/>
    <sheet name="42-Клон 25" sheetId="44" r:id="rId44"/>
    <sheet name="43-Клон 26" sheetId="45" r:id="rId45"/>
    <sheet name="44-Клон 27" sheetId="46" r:id="rId46"/>
    <sheet name="45-Напорен от ПС&quot;ИЗТОК&quot;" sheetId="47" r:id="rId47"/>
    <sheet name="КПС_Изток" sheetId="48" r:id="rId48"/>
    <sheet name="КПС_Север" sheetId="49" r:id="rId49"/>
    <sheet name="КПС_Юг" sheetId="50" r:id="rId50"/>
    <sheet name="Аварийно захранване КПС &quot;Юг&quot;" sheetId="51" r:id="rId51"/>
    <sheet name="Помощна сметка" sheetId="52" r:id="rId52"/>
  </sheets>
  <externalReferences>
    <externalReference r:id="rId55"/>
  </externalReferences>
  <definedNames>
    <definedName name="_xlnm.Print_Area" localSheetId="2">'01-Клон 17-I'!$A$1:$G$59</definedName>
    <definedName name="_xlnm.Print_Area" localSheetId="3">'02-Клон 19-I'!$A$1:$G$60</definedName>
    <definedName name="_xlnm.Print_Area" localSheetId="4">'03-Клон 20-I'!$A$1:$G$58</definedName>
    <definedName name="_xlnm.Print_Area" localSheetId="5">'04-Гл.клон II'!$A$1:$G$82</definedName>
    <definedName name="_xlnm.Print_Area" localSheetId="6">'05-Гл.клон III'!$A$1:$G$72</definedName>
    <definedName name="_xlnm.Print_Area" localSheetId="7">'06-Клон 3-III'!$A$1:$G$60</definedName>
    <definedName name="_xlnm.Print_Area" localSheetId="8">'07-Клон 4-III'!$A$1:$G$59</definedName>
    <definedName name="_xlnm.Print_Area" localSheetId="9">'08-Гл.клон IV'!$A$1:$G$96</definedName>
    <definedName name="_xlnm.Print_Area" localSheetId="10">'09-Отл.канал 6'!$A$1:$G$65</definedName>
    <definedName name="_xlnm.Print_Area" localSheetId="11">'10-Клон 39-IV'!$A$1:$G$59</definedName>
    <definedName name="_xlnm.Print_Area" localSheetId="12">'11-Клон 42-IV'!$A$1:$G$59</definedName>
    <definedName name="_xlnm.Print_Area" localSheetId="13">'12-Клон 43-IV'!$A$1:$G$59</definedName>
    <definedName name="_xlnm.Print_Area" localSheetId="14">'13-Клон 45-IV'!$A$1:$G$60</definedName>
    <definedName name="_xlnm.Print_Area" localSheetId="15">'14-Клон 46-IV'!$A$6:$G$59</definedName>
    <definedName name="_xlnm.Print_Area" localSheetId="16">'15-Гл.клон V'!$A$1:$G$73</definedName>
    <definedName name="_xlnm.Print_Area" localSheetId="17">'16-Клон 5-V'!$A$1:$G$61</definedName>
    <definedName name="_xlnm.Print_Area" localSheetId="18">'17-Клон 6-V'!$A$1:$G$59</definedName>
    <definedName name="_xlnm.Print_Area" localSheetId="19">'18-Клон 9-V'!$A$1:$G$62</definedName>
    <definedName name="_xlnm.Print_Area" localSheetId="20">'19-Гл.клон VI'!$A$1:$G$70</definedName>
    <definedName name="_xlnm.Print_Area" localSheetId="21">'20-Клон 1-VII'!$A$1:$G$60</definedName>
    <definedName name="_xlnm.Print_Area" localSheetId="22">'21-Гл.клон VIII'!$A$1:$G$68</definedName>
    <definedName name="_xlnm.Print_Area" localSheetId="23">'22-Клон 2-VIII'!$A$1:$G$59</definedName>
    <definedName name="_xlnm.Print_Area" localSheetId="24">'23-Клон 3-VIII'!$A$1:$G$61</definedName>
    <definedName name="_xlnm.Print_Area" localSheetId="25">'24-Клон 6-VIII'!$A$1:$G$59</definedName>
    <definedName name="_xlnm.Print_Area" localSheetId="26">'25-Клон 10-VIII'!$A$1:$G$61</definedName>
    <definedName name="_xlnm.Print_Area" localSheetId="27">'26-Гл.клон IX'!$A$1:$G$83</definedName>
    <definedName name="_xlnm.Print_Area" localSheetId="28">'27-Клон 5-IX'!$A$1:$G$59</definedName>
    <definedName name="_xlnm.Print_Area" localSheetId="29">'28-Клон 9-IX'!$A$1:$G$62</definedName>
    <definedName name="_xlnm.Print_Area" localSheetId="30">'29-Клон 10-IX'!$A$1:$G$60</definedName>
    <definedName name="_xlnm.Print_Area" localSheetId="31">'30-Клон 11-IX'!$A$1:$G$59</definedName>
    <definedName name="_xlnm.Print_Area" localSheetId="32">'31-Клон 12-IX'!$A$1:$G$60</definedName>
    <definedName name="_xlnm.Print_Area" localSheetId="33">'32-Клон 14-IX'!$A$1:$G$58</definedName>
    <definedName name="_xlnm.Print_Area" localSheetId="34">'33-Клон 16-IX'!$A$1:$G$60</definedName>
    <definedName name="_xlnm.Print_Area" localSheetId="35">'34-Клон 4-X'!$A$1:$G$59</definedName>
    <definedName name="_xlnm.Print_Area" localSheetId="36">'35-Клон 7'!$A$1:$G$70</definedName>
    <definedName name="_xlnm.Print_Area" localSheetId="37">'36-Клон 8'!$A$1:$G$54</definedName>
    <definedName name="_xlnm.Print_Area" localSheetId="38">'37-Клон 9'!$A$1:$G$59</definedName>
    <definedName name="_xlnm.Print_Area" localSheetId="39">'38-Клон 10'!$A$1:$G$63</definedName>
    <definedName name="_xlnm.Print_Area" localSheetId="40">'39-Клон 28'!$A$1:$G$48</definedName>
    <definedName name="_xlnm.Print_Area" localSheetId="41">'40-Клон 13'!$A$1:$G$57</definedName>
    <definedName name="_xlnm.Print_Area" localSheetId="42">'41-Отл.к-л 7 и напор КПС Север'!$A$1:$G$85</definedName>
    <definedName name="_xlnm.Print_Area" localSheetId="43">'42-Клон 25'!$A$1:$G$48</definedName>
    <definedName name="_xlnm.Print_Area" localSheetId="44">'43-Клон 26'!$A$1:$G$59</definedName>
    <definedName name="_xlnm.Print_Area" localSheetId="45">'44-Клон 27'!$A$1:$G$59</definedName>
    <definedName name="_xlnm.Print_Area" localSheetId="46">'45-Напорен от ПС"ИЗТОК"'!$A$1:$G$34</definedName>
    <definedName name="_xlnm.Print_Area" localSheetId="1">'OСС по поз. 1.1 от ЦП'!$A$1:$E$92</definedName>
    <definedName name="_xlnm.Print_Area" localSheetId="50">'Аварийно захранване КПС "Юг"'!$A$1:$G$29</definedName>
    <definedName name="_xlnm.Print_Area" localSheetId="0">'Ед цени'!$A$1:$E$266</definedName>
    <definedName name="_xlnm.Print_Area" localSheetId="47">'КПС_Изток'!$A$1:$H$302</definedName>
    <definedName name="_xlnm.Print_Area" localSheetId="48">'КПС_Север'!$A$1:$H$313</definedName>
    <definedName name="_xlnm.Print_Area" localSheetId="49">'КПС_Юг'!$A$1:$H$162</definedName>
    <definedName name="_xlnm.Print_Area" localSheetId="51">'Помощна сметка'!$A$3:$F$41</definedName>
  </definedNames>
  <calcPr fullCalcOnLoad="1"/>
</workbook>
</file>

<file path=xl/sharedStrings.xml><?xml version="1.0" encoding="utf-8"?>
<sst xmlns="http://schemas.openxmlformats.org/spreadsheetml/2006/main" count="6782" uniqueCount="611">
  <si>
    <t>Клон 10-IX смесена канализация по ул."Асен Златаров" и ул."Канлъдере"-участък от РШ 398 след о.т.623 до заустване в РШ 391 на Клон 9-IX (о.т.598) с L=248m'</t>
  </si>
  <si>
    <t>Клон 11-IX смесена канализация по ул."Асен и Илия Пейкови"-участък от о.т.596 до заустване в РШ 393 на Клон 9-IX (о.т.595)  с L=160m'</t>
  </si>
  <si>
    <t>Клон 12-IX смесена канализация по ул."Иван К.Устабашиев"-участък от РШ 407 след о.т.593 до заустване в РШ 395 на Клон 9-IX (о.т.594) с L=171m'</t>
  </si>
  <si>
    <t>Клон 14-IX смесена канализация по ул."Свети Княз Борис I"-участък от РШ 410 след о.т.576 до заустване в РШ 372 на Гл.клон IX (о.т.577) с L=76m'</t>
  </si>
  <si>
    <t>Клон 16-IX смесена канализация по ул."Васил Левски"-участък от РШ 415 преди о.т.579 до заустване в РШ 374 на Гл.клон IX (ул.Крушевска) с L=89m'</t>
  </si>
  <si>
    <t xml:space="preserve"> Клон 4-X смесена канализация по ул."Гочо Москов"-участък от РШ 426 след о.т.672 до заустване в СРШ (о.т.715) с L=197m'</t>
  </si>
  <si>
    <t xml:space="preserve"> Клон 7 битова канализация по ул."Марин Попов"-участък от РШ 438 след о.т.1132 до заустване в КПС "ЮГ" с L=475m'</t>
  </si>
  <si>
    <t>Клон 8 битова канализация по ул."Марин Попов"-участък от о.т.1129 до заустване в РШ 441 на Клон 7 (о.т.1128) с L=72m'</t>
  </si>
  <si>
    <t xml:space="preserve">Клон 9 битова канализация по ул."Марин Попов"-участък от РШ 450 след о.т.1121 до заустване в РШ 445 на Клон 7 (о.т.1123) с L=146m' </t>
  </si>
  <si>
    <t>Клон 10 битова канализация по ул."Марин Попов"-участък от о.т.7911 до заустване в РШ 445 на Клон 7 (о.т.1123) с L=274m' и новопроектиран напорен тръбопровод-от КПС"ЮГ" до заустване в СРШ (о.т.1076) с L=382m'</t>
  </si>
  <si>
    <t xml:space="preserve">Клон 28 битова канализация -участък от о.т.1131 до заустване в РШ 440 на Клон 7 (о.т.1130) с L=120m' </t>
  </si>
  <si>
    <t xml:space="preserve"> Клон 13 смесена канализация -участък от РШ 481 до заустване в КПС"СЕВЕР" с L=22m'</t>
  </si>
  <si>
    <t xml:space="preserve"> Отливен канал 7 - от Дъждопреливник No7 до брегово заустване в р.Росица с L=276m' и новопроектиран напорен тръбопровод-от КПС"СЕВЕР" до заустване в СРШ с L=598m'</t>
  </si>
  <si>
    <t xml:space="preserve">Клон 25 битова канализация -участък от РШ 490 до заустване в КПС"СЕВЕР" с L=503m' </t>
  </si>
  <si>
    <t xml:space="preserve">Клон 26 битова канализация по ул."Зона изток"-участък от РШ 501 до заустване в КПС "ИЗТОК" с L=594m' </t>
  </si>
  <si>
    <t xml:space="preserve">Клон 27 битова канализация по ул."Зона изток"-участък от о.т.79 до заустване в РШ 515 на Клон 26  с L=314m' </t>
  </si>
  <si>
    <t>Новопроектиран напорен тръбопровод-от КПС"ИЗТОК" до заустване в СРШ с L=145m'</t>
  </si>
  <si>
    <t xml:space="preserve">Забележка: </t>
  </si>
  <si>
    <t>ПОДОБЕКТ:</t>
  </si>
  <si>
    <t>Доставка и полагане на тръба DN200, PP, SN8 за СКО</t>
  </si>
  <si>
    <t xml:space="preserve">Доставка и полагане на неплътен асфалтобетон E=800 MPa - d=6 см (до 10km) </t>
  </si>
  <si>
    <t>Доставка и полагане на несортиран минерален материал 0&lt;D&lt;63мм Е=250 Mpa - 50см (до 20km)</t>
  </si>
  <si>
    <t>Доставка и монтаж на детекторна сигнална лента с метална нишка</t>
  </si>
  <si>
    <t>до 5,0м'</t>
  </si>
  <si>
    <t>Направа на изкоп по детайли и дълбочина до 5,0 m на транспорт -  укрепен</t>
  </si>
  <si>
    <t xml:space="preserve">Доставка и полагане на тръби PЕ спирални  SN8 DN/ID700 </t>
  </si>
  <si>
    <t>Направа на сглобяеми ревизионни шахти  Ф2000  по детайл с дълбочина до 5,00 m'</t>
  </si>
  <si>
    <t>Направа на сглобяеми ревизионни шахти  Ф2000  по детайл с дълбочина до 3,00 m'</t>
  </si>
  <si>
    <t>Достaвка и полагане на отводнителен улей тип моноблок с клас на натоварване D400</t>
  </si>
  <si>
    <t>Доставка и монтаж на дъга 60гр. ∅90 РЕ100 PN10</t>
  </si>
  <si>
    <t xml:space="preserve">Доставка и полагане на битумизиран трошен камък за пътна основа Е=800 MPa - d=12 см (до 20km) </t>
  </si>
  <si>
    <t>Доставка и полагане на несортиран минерален материал 0&lt;D&lt;63мм Е=300 Mpa - 45см (до 20km)</t>
  </si>
  <si>
    <t>Изграждане на Дъждопреливник No6 по детайл и конструктивни чертежи:</t>
  </si>
  <si>
    <t>Lотл.к.</t>
  </si>
  <si>
    <t>Разкъртване на бетонова настилка - механизирано (10см пласт) за Отливен канал 6</t>
  </si>
  <si>
    <t>Възстановяване на бетонова настилка</t>
  </si>
  <si>
    <t>Направа на сглобяеми ревизионни шахти  Ф1500  по детайл с дълбочина до 5,00 m'</t>
  </si>
  <si>
    <t>Рязане на асфалтова настилка за СКО</t>
  </si>
  <si>
    <t>Разкъртване на асфалтова настилка - механизирано (10см пласт) за СКО</t>
  </si>
  <si>
    <t>Разбиване на бордюри при полагане на СКО</t>
  </si>
  <si>
    <t>Разбиване на тротоарни плочи при полагане на СКО</t>
  </si>
  <si>
    <t>Извозване на земни маси от масов изкоп за канализация на депо до 5 km</t>
  </si>
  <si>
    <t>Доставка и полагане на пясъчна подложка за канализация (до 5km)</t>
  </si>
  <si>
    <t>Доставка и обратна засипка на основна траншея и СКО с нестандартна скална маса (0-30 mm) и уплътняване с пневматична трамбовка през 30см (до 20km)</t>
  </si>
  <si>
    <t>Направа на изкоп с ширина 1,20 m' и дълбочина до 2,0 m - за СКО</t>
  </si>
  <si>
    <t>Доставка и монтаж на дъга 30гр. ∅160 РЕ100 PN10</t>
  </si>
  <si>
    <t xml:space="preserve">Клон 17-I - канализация </t>
  </si>
  <si>
    <t xml:space="preserve">Клон 19-I - канализация </t>
  </si>
  <si>
    <t xml:space="preserve">Клон 20-I - канализация </t>
  </si>
  <si>
    <t>Гл.клон II - канализация</t>
  </si>
  <si>
    <t xml:space="preserve">Гл.клон III - канализация </t>
  </si>
  <si>
    <t xml:space="preserve">Клон 3-III - канализация </t>
  </si>
  <si>
    <t xml:space="preserve">Клон 4-III - канализация </t>
  </si>
  <si>
    <t xml:space="preserve">Гл.клон IV - канализация </t>
  </si>
  <si>
    <t xml:space="preserve">Клон 43-IV - канализация </t>
  </si>
  <si>
    <t xml:space="preserve">Клон 45-IV - канализация </t>
  </si>
  <si>
    <t xml:space="preserve">Клон 5-V - канализация </t>
  </si>
  <si>
    <t xml:space="preserve">Клон 6-V - канализация </t>
  </si>
  <si>
    <t xml:space="preserve">Клон 9-V - канализация </t>
  </si>
  <si>
    <t>Гл.клон IX - канализация</t>
  </si>
  <si>
    <t xml:space="preserve">Клон 7 - канализация </t>
  </si>
  <si>
    <t xml:space="preserve">Клон 8 - канализация </t>
  </si>
  <si>
    <t>Клон 10 - канализация и напорен тръбопровод от КПС"Юг"</t>
  </si>
  <si>
    <t xml:space="preserve">Клон 28 - канализация </t>
  </si>
  <si>
    <t>Доставка и монтаж на намалител ∅125-90 РЕ100 PN10</t>
  </si>
  <si>
    <t>Доставка и монтаж на предфланшова връзка  ∅125 PE100 PN10</t>
  </si>
  <si>
    <t>Доставка и монтаж на свободни фланци  ∅125</t>
  </si>
  <si>
    <t>Доставка и монтаж на гумен уплътнител за фланец -  ∅125</t>
  </si>
  <si>
    <t>Доставка и монтаж на фланшов адаптор DN125-4" чугун, тип жибо</t>
  </si>
  <si>
    <t>Направа на сглобяеми ревизионни шахти  Ф1000  по детайл с дълбочина до 2,00 m'</t>
  </si>
  <si>
    <t>Доставка и полагане на несортиран минерален материал 0&lt;D&lt;63мм Е=250 Mpa - 45см (до 20km)</t>
  </si>
  <si>
    <t>Възстановяване на защитна земнонасипна дига</t>
  </si>
  <si>
    <t>Извозване на земни маси от масов изкоп на депо до 5 km</t>
  </si>
  <si>
    <t>Доставка и полагане на пясъчна подложка (до 5km)</t>
  </si>
  <si>
    <t>Доставка и обратна засипка на основна траншея с нестандартна скална маса (0-30 mm) и уплътняване с пневматична трамбовка през 30см (до 20km)</t>
  </si>
  <si>
    <t>Открито отвеждане на дъждовни води от Дъждопреливник No6 чрез изграждане на канавка от сглобяеми елементи:</t>
  </si>
  <si>
    <t xml:space="preserve">      - доставка и полагане на трошен камък 0-75mm за основа с d=30см</t>
  </si>
  <si>
    <t xml:space="preserve">      - направа на изкоп за полагане на сглобяеми елементи</t>
  </si>
  <si>
    <t xml:space="preserve">      - извозване на земни маси </t>
  </si>
  <si>
    <t>Доставка и монтаж на тройник DN150-150-150 стомана</t>
  </si>
  <si>
    <t>Доставка и монтаж на тройник DN175-175-175 стомана</t>
  </si>
  <si>
    <t>Доставка и монтаж на коляно 45гр. ∅110 РЕ100 PN10</t>
  </si>
  <si>
    <t>Доставка и полагане на пясъчна подложка за канализация(до 5km)</t>
  </si>
  <si>
    <t>Доставка и полагане на пясъчна подложка заканализация (до 5km)</t>
  </si>
  <si>
    <t>Доставка и полагане на пясъчна подложка канализация (до 5km)</t>
  </si>
  <si>
    <t>Доставка и полагане на пясъчна подложка за канализация и напорен тръбопровод (до 5km)</t>
  </si>
  <si>
    <t>Разкопаване на защитна земнонасипна дига на отвал</t>
  </si>
  <si>
    <t xml:space="preserve">      - обратна засипка със земна маса и уплътняване с пневматична трамбовка </t>
  </si>
  <si>
    <t>Хидравлично изпитване на отливен канал</t>
  </si>
  <si>
    <t>Хидравлично изпитване на напорната канализация</t>
  </si>
  <si>
    <t>Направа на изкоп 2,0/,2,0 и дълбочина до 6,0 m на транспорт -  укрепен</t>
  </si>
  <si>
    <t>Доставка и монтаж на заустващо коляно 90гр. ∅90 РЕ100 PN10</t>
  </si>
  <si>
    <t>Доставка и монтаж на дъга 30гр. ∅140 РЕ100 PN10</t>
  </si>
  <si>
    <t>Доставка и монтаж на коляно 90гр. ∅140 РЕ100 PN10</t>
  </si>
  <si>
    <t>Доставка и монтаж на тройник намалител стомана DN5"- 3"      (139,7 - 88,9)</t>
  </si>
  <si>
    <t xml:space="preserve">Доставка на тръби ∅140 PE100 PN10 за безтраншейно полагане </t>
  </si>
  <si>
    <t>Доставка и монтаж на коляно 90гр. стомана DN3" (88,9 mm)</t>
  </si>
  <si>
    <t>Доставка и монтаж на СК DN80 с РЧК за шахта отток</t>
  </si>
  <si>
    <t>Доставка и монтаж на жаба клапа DN80 за шахта отток</t>
  </si>
  <si>
    <t>Клон 46-IV - канализация</t>
  </si>
  <si>
    <t>Доставка и монтаж на тръба DN 5"(139,7x5,0) стоманени, безшевни</t>
  </si>
  <si>
    <t>Доставка и монтаж на тръба DN 3"(88,9x3,2) стоманени, безшевни</t>
  </si>
  <si>
    <t>Доставка и монтаж на предфланшова връзка  ∅140 PE100 PN10</t>
  </si>
  <si>
    <t>Доставка и монтаж на свободни фланци  ∅140</t>
  </si>
  <si>
    <t>Доставка, полагане и монтаж на тръби ∅90 PE100 PN6</t>
  </si>
  <si>
    <t>Доставка и монтаж на стоманен фланшов щуцер  DN5" (139,7 mm)</t>
  </si>
  <si>
    <t>Доставка и монтаж на стоманен фланшов щуцер  DN3" (88,9 mm)</t>
  </si>
  <si>
    <t>Доставка и монтаж на щуцер DN150 (6") стомана</t>
  </si>
  <si>
    <t>Доставка и монтаж на щуцер DN100 (4") стомана</t>
  </si>
  <si>
    <t>Доставка и монтаж на кръстак DN175  (6") стомана</t>
  </si>
  <si>
    <t>Доставка и монтаж на щуцер DN200 (8") стомана</t>
  </si>
  <si>
    <t xml:space="preserve">      - армировка за шахта отток</t>
  </si>
  <si>
    <t>Доставка и монтаж на тръба Ф110 PVC за шахта отток</t>
  </si>
  <si>
    <t>Двустранно жибо DN80-3" чугун</t>
  </si>
  <si>
    <t xml:space="preserve">      - кофраж и декофраж за дъно, стени и покривна плоча на шахта отток</t>
  </si>
  <si>
    <t xml:space="preserve">      - подложен бетон В10 за шахта отток</t>
  </si>
  <si>
    <t xml:space="preserve">      - подложен бетон  В25 W0,6 за шахта отток</t>
  </si>
  <si>
    <t>Изграждане на шахта отток по детайл и конструктивни чертежи 1,90/1,90/H=3,20m':</t>
  </si>
  <si>
    <t xml:space="preserve">      - СМР, помощна механизация и сглобяеми стб.елементи</t>
  </si>
  <si>
    <t>Напорен тръбопровод от КПС"Изток"</t>
  </si>
  <si>
    <t>Отливен канал 7 и напорен тръбопровод от КПС"Север"</t>
  </si>
  <si>
    <t>Доставка и монтаж на салниково уплътннеие за метална тръба DN140 (5") за преминаване през бетонна стена на шахта</t>
  </si>
  <si>
    <t>Доставка и монтаж на салниково уплътннеие за метална тръба DN80 (3") за преминаване през бетонна стена на шахта</t>
  </si>
  <si>
    <t>Брегово заустване по детайл на Отливен канал 7</t>
  </si>
  <si>
    <t>Доставка и монтаж на намалител ∅160-125 РЕ100 PN10</t>
  </si>
  <si>
    <t>Доставка и монтаж на намалител ∅160-140 РЕ100 PN10</t>
  </si>
  <si>
    <t xml:space="preserve">Доставка и полагане на тръби PE SN4 DN/ID800 </t>
  </si>
  <si>
    <t xml:space="preserve">Доставка и полагане на тръби PE SN4 DN/ID1000 </t>
  </si>
  <si>
    <t xml:space="preserve">      - метален савак тип-преливен с размери 400/400mm</t>
  </si>
  <si>
    <t xml:space="preserve">Доставка и полагане на обратна засипка със земна маса и уплътняване с пневматична трамбовка през 30см </t>
  </si>
  <si>
    <t xml:space="preserve">      - доставка и монтаж на сглобяеми стоманобетонни елементи с размери 85/112/L=300см</t>
  </si>
  <si>
    <t xml:space="preserve">      - брегово заустване на открита канавка (заскаляване на брега с ломен камък на цименто-пясъчна основа)</t>
  </si>
  <si>
    <t>Изграждане на Дъждопреливник No7 по детайл и конструктивни чертежи:</t>
  </si>
  <si>
    <t>Брегово заустване на отливен канал от Пр.No7</t>
  </si>
  <si>
    <t xml:space="preserve">      - кофраж и декофраж за дъно, стени и покривна плоча на преливник</t>
  </si>
  <si>
    <t xml:space="preserve">      - СМР и помощна механизация</t>
  </si>
  <si>
    <t>Направа на изкоп по детайли и дълбочина до 3,0 m на отвал -  укрепен</t>
  </si>
  <si>
    <t>Направа на изкоп по детайли и дълбочина до 4,0 m на отвал -  укрепен</t>
  </si>
  <si>
    <t>Направа на изкоп по детайли и дълбочина до 5,0 m на отвал -  укрепен</t>
  </si>
  <si>
    <t xml:space="preserve">      - ръчен 5%</t>
  </si>
  <si>
    <t xml:space="preserve">      - машинен 90 %</t>
  </si>
  <si>
    <t xml:space="preserve">Обратна засипка със земна маса и уплътняване с пневматична трамбовка през 30см </t>
  </si>
  <si>
    <t>СВО ∅110-3/4" (безтраншейно полагане)</t>
  </si>
  <si>
    <t>Доставка, полагане и монтаж на тръби ∅140 PE100 PN6</t>
  </si>
  <si>
    <t>Рязане на асфалтова настилка за напорен тръбопровод</t>
  </si>
  <si>
    <t>Доставка и обратна засипка с нестандартна скална маса (0-30 mm) и уплътняване с пневматична трамбовка през 30см (до 20km)</t>
  </si>
  <si>
    <t xml:space="preserve">Доставка и братна засипка със земна маса и уплътняване с пневматична трамбовка през 30см </t>
  </si>
  <si>
    <t>Доставка на тръби ∅90 PE100 PN10</t>
  </si>
  <si>
    <t>Обект</t>
  </si>
  <si>
    <t>ДДС</t>
  </si>
  <si>
    <t>лв</t>
  </si>
  <si>
    <t>Отливен канал 6</t>
  </si>
  <si>
    <t xml:space="preserve">Клон 39-IV - канализация </t>
  </si>
  <si>
    <t xml:space="preserve">Клон 42-IV - канализация </t>
  </si>
  <si>
    <t xml:space="preserve">Гл.клон V - канализация </t>
  </si>
  <si>
    <t xml:space="preserve">Гл.клон VI - канализация </t>
  </si>
  <si>
    <t xml:space="preserve">Клон 1-VII - канализация </t>
  </si>
  <si>
    <t xml:space="preserve">Клон 5-IX - канализация </t>
  </si>
  <si>
    <t xml:space="preserve">Клон 9-IX - канализация </t>
  </si>
  <si>
    <t xml:space="preserve">Клон 10-IX - канализация </t>
  </si>
  <si>
    <t xml:space="preserve">Клон 11-IX - канализация </t>
  </si>
  <si>
    <t>Клон 12-IX - канализация</t>
  </si>
  <si>
    <t>Клон 14-IX - канализация</t>
  </si>
  <si>
    <t>Клон 16-IX - канализация</t>
  </si>
  <si>
    <t>Клон 4-X - канализация</t>
  </si>
  <si>
    <t xml:space="preserve">Клон 9 - канализация </t>
  </si>
  <si>
    <t>Клон 13 - канализация</t>
  </si>
  <si>
    <t>Клон 25 - канализация</t>
  </si>
  <si>
    <t>Клон 26 - канализация</t>
  </si>
  <si>
    <t>Клон 27 - канализация</t>
  </si>
  <si>
    <t xml:space="preserve">Гл.клон VIII - канализация </t>
  </si>
  <si>
    <t>Клон 2-VIII канализация</t>
  </si>
  <si>
    <t xml:space="preserve">Клон 3-VIII канализация </t>
  </si>
  <si>
    <t xml:space="preserve">Клон 6-VIII канализация </t>
  </si>
  <si>
    <t xml:space="preserve">Клон 10-VIII канализация </t>
  </si>
  <si>
    <t>Lсво к.</t>
  </si>
  <si>
    <t xml:space="preserve">Направа на изкоп с ширина 1,20 m' и дълбочина до 2,0 m - за СКО </t>
  </si>
  <si>
    <t>Разрушаване на трошенокаменна настилка</t>
  </si>
  <si>
    <t>Доставка и монтаж на тройник намалител ∅140-90-140 РЕ100 PN10</t>
  </si>
  <si>
    <t>Доставка и монтаж на намалител ∅140-110 РЕ100 PN10</t>
  </si>
  <si>
    <t>Възстановяване на трошенокаменна настилка</t>
  </si>
  <si>
    <t>Направа на изкоп по детайли и дълбочина до 3,0 m за основен канал и водопровод на транспорт -  укрепен</t>
  </si>
  <si>
    <t>Рязане на асфалтова настилка за основен канал и напорен тръбопровод</t>
  </si>
  <si>
    <t>Разкъртване на асфалтова настилка - механизирано (10см пласт) за основен канал и напорен тръбопровод</t>
  </si>
  <si>
    <t>Доставка и полагане на пясъчна подложка за водопровод, канализация и напорен тръбопровод (до 5km)</t>
  </si>
  <si>
    <t>Направа на изкоп по детайли и дълбочина до 3,0 m за основен канал и напорен тръбопровод на транспорт -  укрепен</t>
  </si>
  <si>
    <t>Доставка, полагане и монтаж на тръби ∅63 PE100 PN6</t>
  </si>
  <si>
    <t>Доставка и монтаж на коляно 90гр. ∅63 РЕ100 PN6</t>
  </si>
  <si>
    <t>Доставка и монтаж на муфа електрозаваряема ∅63</t>
  </si>
  <si>
    <t>Ед. мярка</t>
  </si>
  <si>
    <t>m'</t>
  </si>
  <si>
    <t>бр.</t>
  </si>
  <si>
    <t>Водочерпене по време на строителството</t>
  </si>
  <si>
    <t>мсм</t>
  </si>
  <si>
    <t>Заливка с битум</t>
  </si>
  <si>
    <t>t</t>
  </si>
  <si>
    <t>Прехвърляне на изкопана земна маса на 2,00 м вертикално и хоризонтално</t>
  </si>
  <si>
    <t xml:space="preserve">Натоварване на камион </t>
  </si>
  <si>
    <t>Направа на изкоп по детайли и дълбочина до 3,0 m на транспорт -  укрепен</t>
  </si>
  <si>
    <t xml:space="preserve">      - машинен 60 %</t>
  </si>
  <si>
    <t xml:space="preserve">Направа на сградни канализационни отклонения DN200 </t>
  </si>
  <si>
    <t>Хидравлично изпитване на канализацията</t>
  </si>
  <si>
    <t>Направа на изкоп по детайли и дълбочина до 4,0 m на транспорт -  укрепен</t>
  </si>
  <si>
    <t>Ед.цена</t>
  </si>
  <si>
    <t>до 3м'</t>
  </si>
  <si>
    <t>до 4м'</t>
  </si>
  <si>
    <t>ДДС 20% :</t>
  </si>
  <si>
    <t>Lско</t>
  </si>
  <si>
    <t>Vско</t>
  </si>
  <si>
    <t>Bизкоп</t>
  </si>
  <si>
    <t>Bско</t>
  </si>
  <si>
    <t>СКОбр.</t>
  </si>
  <si>
    <t>РШбр.</t>
  </si>
  <si>
    <t>Lканал</t>
  </si>
  <si>
    <t>ОБЕКТ:</t>
  </si>
  <si>
    <r>
      <t>m</t>
    </r>
    <r>
      <rPr>
        <vertAlign val="superscript"/>
        <sz val="10"/>
        <rFont val="Arial"/>
        <family val="2"/>
      </rPr>
      <t>3</t>
    </r>
  </si>
  <si>
    <t>Vсво</t>
  </si>
  <si>
    <t>Изпитване на водопровода</t>
  </si>
  <si>
    <t>m</t>
  </si>
  <si>
    <t>Дезинфекция на водопровода</t>
  </si>
  <si>
    <t>Доставка и монтаж на предфланшова връзка  ∅90 PE100 PN10</t>
  </si>
  <si>
    <t>Доставка и монтаж на СК DN80 шибърен, чугун, с гумиран клин, с охранителна гарнитура</t>
  </si>
  <si>
    <t xml:space="preserve">Доставка и монтаж на ПХ 70/80 надземен с пета </t>
  </si>
  <si>
    <t>Доставка и монтаж на гумен уплътнител за фланец -  ∅80</t>
  </si>
  <si>
    <t>Доставка и монтаж на табели са СК</t>
  </si>
  <si>
    <t>Доставка и монтаж на бетонови опорни блокове</t>
  </si>
  <si>
    <t>Доставка и монтаж на сигнална лента "Водопровод"</t>
  </si>
  <si>
    <t>Доставка и монтаж на гумен уплътнител за фланец -  ∅200</t>
  </si>
  <si>
    <t xml:space="preserve">Доставка, полагане и монтаж на тръби ∅90 PE100 PN10 </t>
  </si>
  <si>
    <t>Доставка и монтаж на свободни фланци  ∅90</t>
  </si>
  <si>
    <t>Доставка и монтаж на тройник ∅90-90-90 РЕ100 PN10</t>
  </si>
  <si>
    <t>Доставка и монтаж на фланшов адаптор DN80-3" чугун, тип жибо</t>
  </si>
  <si>
    <t>Доставка и монтаж на муфа електрозаваряема ∅90</t>
  </si>
  <si>
    <t>Достaвка и полагане на единичен, двуставен УО с утаителна част Ф400 и чугунена решетка 300/500 mm, клас на натоварване С250</t>
  </si>
  <si>
    <t>СВО ∅90-3/4"</t>
  </si>
  <si>
    <t>ПОМОЩНА КОЛИЧЕСТВЕНА - СТОЙНОСТНА СМЕТКА</t>
  </si>
  <si>
    <t>СВО ∅90-1"</t>
  </si>
  <si>
    <t>Доставка и монтаж на предфланшова връзка  ∅110 PE100 PN10</t>
  </si>
  <si>
    <t>Доставка и монтаж на гумен уплътнител за фланец -  ∅100</t>
  </si>
  <si>
    <t>Доставка и монтаж на намалител ∅90-63 РЕ100 PN10</t>
  </si>
  <si>
    <t>Доставка и монтаж на намалител ∅110-90 РЕ100 PN10</t>
  </si>
  <si>
    <t>Доставка и монтаж на коляно 90гр. ∅90 РЕ100 PN10</t>
  </si>
  <si>
    <t>Доставка и монтаж на фланшов адаптор DN100-4" чугун, тип жибо</t>
  </si>
  <si>
    <t>СВО ∅90-2"</t>
  </si>
  <si>
    <t>Направа на изкоп с ширина 1,20 m' и дълбочина до 2,0 m - за СКО и УО</t>
  </si>
  <si>
    <t xml:space="preserve">Машинен изкоп на транспорт за СВО - 0,50 х 1,20 m </t>
  </si>
  <si>
    <t xml:space="preserve">- 1 брой СKО - DN200 </t>
  </si>
  <si>
    <t>Доставка и монтаж на разклонител Ф300-200 или скоба за врязване</t>
  </si>
  <si>
    <t>Доставка и монтаж на дъга 45 гр. Ф200</t>
  </si>
  <si>
    <t xml:space="preserve">      - подложен бетон за преливна шахта В25 W0,6</t>
  </si>
  <si>
    <t xml:space="preserve">      - армировка за преливна шахта </t>
  </si>
  <si>
    <t>kg</t>
  </si>
  <si>
    <t>Bсво</t>
  </si>
  <si>
    <t>Lводопр.</t>
  </si>
  <si>
    <t>Доставка и монтаж на дъга 30гр. ∅90 РЕ100 PN10</t>
  </si>
  <si>
    <t>Рязане на асфалтова настилка за основен водопровод</t>
  </si>
  <si>
    <t>Разкъртване на асфалтова настилка - механизирано (10см пласт) за основен водопровод</t>
  </si>
  <si>
    <t>Доставка и монтаж на свободни фланци  ∅110</t>
  </si>
  <si>
    <t xml:space="preserve">Рязане на асфалтова настилка за основен канал </t>
  </si>
  <si>
    <t xml:space="preserve">Машинен изкоп за водопровод на транспорт - 0,70 х 1,70 m </t>
  </si>
  <si>
    <t xml:space="preserve">Разкъртване на асфалтова настилка - механизирано (10см пласт) за основен канал </t>
  </si>
  <si>
    <t>Разбиване на бордюри при полагане на СВО и СКО</t>
  </si>
  <si>
    <t>Разбиване на тротоарни плочи при полагане на СВО и СКО</t>
  </si>
  <si>
    <t xml:space="preserve">      - изкоп с къртач в твърди скални почви  5%</t>
  </si>
  <si>
    <t xml:space="preserve">      - машинен 70 %</t>
  </si>
  <si>
    <t xml:space="preserve">      - ръчен 25%</t>
  </si>
  <si>
    <t xml:space="preserve">      - изкоп с къртач в твърди скални почви 5%</t>
  </si>
  <si>
    <t xml:space="preserve">      - ръчен 35%</t>
  </si>
  <si>
    <t>Натоварване и извозване на строителни отпадъци до 5 km (регионално депо за стр.отпадъци)</t>
  </si>
  <si>
    <t>Извозване на земни маси от масов изкоп за водопровод и канализация на депо до 5 km</t>
  </si>
  <si>
    <t>Доставка и полагане на пясъчна подложка за водопровод и канализация (до 5km)</t>
  </si>
  <si>
    <t xml:space="preserve">Доставка и полагане на тръби PP SN8 DN/ID400 </t>
  </si>
  <si>
    <t xml:space="preserve">Доставка и полагане на тръби PP SN8 DN/ID500 </t>
  </si>
  <si>
    <t xml:space="preserve">Доставка и полагане на тръби PP SN8 DN/ID600 </t>
  </si>
  <si>
    <t>Доставка и обратна засипка с пясък или каменно брашно и уплътняване с пневматична трамбовка над теме водопроводна тръба (до 5km)</t>
  </si>
  <si>
    <t xml:space="preserve">Доставка, полагане и монтаж на тръби ∅110 PE100 PN10 </t>
  </si>
  <si>
    <t>Доставка и монтаж на тройник намалител ∅110-90-110 РЕ100 PN10</t>
  </si>
  <si>
    <t>Доставка и монтаж на СК DN100 шибърен, чугун, с гумиран клин, с охранителна гарнитура</t>
  </si>
  <si>
    <t>Доставка и монтаж на тройник ∅110-110-110 РЕ100 PN10</t>
  </si>
  <si>
    <t>СВО ∅110-3/4"</t>
  </si>
  <si>
    <t>СВО ∅110-2"</t>
  </si>
  <si>
    <t>Доставка и монтаж на муфа електрозаваряема ∅110</t>
  </si>
  <si>
    <t xml:space="preserve">Възстановяване на бордюри </t>
  </si>
  <si>
    <t xml:space="preserve">Възстановяване на тротоарна настилка с бетонови плочи </t>
  </si>
  <si>
    <t>Lсво д</t>
  </si>
  <si>
    <t>Lсво к</t>
  </si>
  <si>
    <t>СВОд.</t>
  </si>
  <si>
    <t>СВОк.</t>
  </si>
  <si>
    <t>СВОобщо</t>
  </si>
  <si>
    <t>Рязане на асфалтова настилка за СВО и СКО</t>
  </si>
  <si>
    <t>Разкъртване на асфалтова настилка - механизирано (10см пласт) за СВО и СКО</t>
  </si>
  <si>
    <t xml:space="preserve">Доставка и полагане на тръби PP SN8 DN/ID300 </t>
  </si>
  <si>
    <t>СВО ∅110-1 1/4"</t>
  </si>
  <si>
    <t xml:space="preserve">Доставка и полагане на плътен износоустойчив асфалтобетон E=1200 MPa - d=4 см (до 10km) </t>
  </si>
  <si>
    <t xml:space="preserve">Доставка и полагане на неплътен асфалтобетон E=1000 MPa - d=4 см (до 10km) </t>
  </si>
  <si>
    <t xml:space="preserve">Доставка и полагане на битумизиран трошен камък за пътна основа Е=800 MPa - d=6 см (до 20km) </t>
  </si>
  <si>
    <t>Доставка и обратна засипка на основна траншея и СВО/СКО с нестандартна скална маса (0-30 mm) и уплътняване с пневматична трамбовка през 30см (до 20km)</t>
  </si>
  <si>
    <t>Доставка и монтаж на щуцер DN80 стомана</t>
  </si>
  <si>
    <t>Доставка и полагане на несортиран минерален материал 0&lt;D&lt;63мм Е=250 Mpa - 46см (до 20km)</t>
  </si>
  <si>
    <t>Lско д</t>
  </si>
  <si>
    <t>Lско к</t>
  </si>
  <si>
    <t>СКОк</t>
  </si>
  <si>
    <t>СКОд.</t>
  </si>
  <si>
    <t>СВОмн.д.</t>
  </si>
  <si>
    <t>Lсво мн.д.</t>
  </si>
  <si>
    <t>до 4,5м'</t>
  </si>
  <si>
    <t>Направа на изкоп по детайли и дълбочина до 4,5 m на транспорт -  укрепен</t>
  </si>
  <si>
    <t xml:space="preserve">Доставка и полагане на тръби PP SN8 DN/ID800 </t>
  </si>
  <si>
    <t xml:space="preserve">Доставка и полагане на тръби PP SN8 DN/ID1000 </t>
  </si>
  <si>
    <t>Направа на сглобяеми ревизионни шахти  Ф1000  по детайл с дълбочина до 3,00 m'</t>
  </si>
  <si>
    <t>Направа на сглобяеми ревизионни шахти  Ф1500  по детайл с дълбочина до 4,00 m'</t>
  </si>
  <si>
    <t>Направа на сглобяеми ревизионни шахти  Ф1500  по детайл с дълбочина до 4,50 m'</t>
  </si>
  <si>
    <t>Направа на сглобяеми ревизионни шахти  Ф2000  по детайл с дълбочина до 4,00 m'</t>
  </si>
  <si>
    <t>Направа на сглобяеми ревизионни шахти  Ф1000  по детайл с дълбочина до 4,00 m'</t>
  </si>
  <si>
    <t xml:space="preserve">Доставка и полагане на тръби PЕ спирални  SN8 DN/ID1200 </t>
  </si>
  <si>
    <t>изкоп дренажна призма</t>
  </si>
  <si>
    <t>Доставка и полагане на геотекстил около призма</t>
  </si>
  <si>
    <t>Доставка и полагане на филц за дренажна тръба (до 5km)</t>
  </si>
  <si>
    <t>Доставка и полагане на баластра за дренажен пласт (до 50km)</t>
  </si>
  <si>
    <t xml:space="preserve">Доставка, полагане и монтаж на тръби ∅160 PE100 PN10 </t>
  </si>
  <si>
    <t xml:space="preserve">Доставка, полагане и монтаж на тръби ∅225 PE100 PN10 </t>
  </si>
  <si>
    <t>Доставка и монтаж на дъга 30гр. ∅110 РЕ100 PN10</t>
  </si>
  <si>
    <t>Доставка и монтаж на коляно 90гр. ∅110 РЕ100 PN10</t>
  </si>
  <si>
    <t>Доставка и монтаж на щуцер DN150 стомана</t>
  </si>
  <si>
    <t>Доставка и монтаж на СК DN150 шибърен, чугун, с гумиран клин, с охранителна гарнитура</t>
  </si>
  <si>
    <t>Доставка и монтаж на предфланшова връзка  ∅160 PE100 PN10</t>
  </si>
  <si>
    <t>Доставка и монтаж на свободни фланци  ∅160</t>
  </si>
  <si>
    <t>Доставка и монтаж на гумен уплътнител за фланец -  ∅150</t>
  </si>
  <si>
    <t>Доставка и монтаж на дъга 45гр. ∅160 РЕ100 PN10</t>
  </si>
  <si>
    <t>Доставка и монтаж на тройник намалител ∅160-90-160 РЕ100 PN10</t>
  </si>
  <si>
    <t>Доставка и монтаж на тройник намалител ∅225-160-225 РЕ100 PN10</t>
  </si>
  <si>
    <t>Доставка и монтаж на СК DN200 шибърен, чугун, с гумиран клин, с охранителна гарнитура</t>
  </si>
  <si>
    <t>Доставка и монтаж на предфланшова връзка  ∅225 PE100 PN10</t>
  </si>
  <si>
    <t>Доставка и монтаж на свободни фланци  ∅225</t>
  </si>
  <si>
    <t>Доставка и монтаж на тройник намалител ∅225-90-225 РЕ100 PN10</t>
  </si>
  <si>
    <t>Доставка и монтаж на тройник ∅225-225-225 РЕ100 PN10</t>
  </si>
  <si>
    <t>Доставка и монтаж на намалител ∅225-160 РЕ100 PN10</t>
  </si>
  <si>
    <t>Доставка и монтаж на фланшов адаптор DN150-6" чугун, тип жибо</t>
  </si>
  <si>
    <t>Доставка и монтаж на тройник намалител ∅225-110-225 РЕ100 PN10</t>
  </si>
  <si>
    <t>СВО ∅90-1 1/4"</t>
  </si>
  <si>
    <t>СВО ∅110-1"</t>
  </si>
  <si>
    <t>СВО ∅160-3/4"</t>
  </si>
  <si>
    <t>СВО ∅160-1"</t>
  </si>
  <si>
    <t>СВО ∅160-1 1/4"</t>
  </si>
  <si>
    <t>СВО ∅160-2"</t>
  </si>
  <si>
    <t>СВО ∅225-3/4"</t>
  </si>
  <si>
    <t>СВО ∅225-1"</t>
  </si>
  <si>
    <t>СВО ∅225-2"</t>
  </si>
  <si>
    <t>Доставка и монтаж на муфа електрозаваряема ∅160</t>
  </si>
  <si>
    <t>Доставка и монтаж на муфа електрозаваряема ∅225</t>
  </si>
  <si>
    <t>СКО</t>
  </si>
  <si>
    <t xml:space="preserve">Lско </t>
  </si>
  <si>
    <t>Направа на сглобяеми ревизионни шахти  Ф1500  по детайл с дълбочина до 3,00 m'</t>
  </si>
  <si>
    <t xml:space="preserve">Доставка, полагане и монтаж на тръби ∅140 PE100 PN10 </t>
  </si>
  <si>
    <t>Доставка и монтаж на муфа електрозаваряема ∅140</t>
  </si>
  <si>
    <t>Доставка и монтаж на тройник ∅160-160-160 РЕ100 PN10</t>
  </si>
  <si>
    <t>Доставка и монтаж на тройник намалител ∅140-110-140 РЕ100 PN10</t>
  </si>
  <si>
    <t>Доставка и монтаж на намалител ∅140-90 РЕ100 PN10</t>
  </si>
  <si>
    <t>Доставка и монтаж на намалител ∅160-110 РЕ100 PN10</t>
  </si>
  <si>
    <t>СВО ∅140-3/4"</t>
  </si>
  <si>
    <t>СВО ∅140-1"</t>
  </si>
  <si>
    <t>СВО ∅225-1 1/4"</t>
  </si>
  <si>
    <t xml:space="preserve">      - подложен бетон за преливна шахта В10</t>
  </si>
  <si>
    <t>шифър</t>
  </si>
  <si>
    <t>Стойност без ДДС:</t>
  </si>
  <si>
    <t>Стойност с ДДС:</t>
  </si>
  <si>
    <t>Коли-чество</t>
  </si>
  <si>
    <t>в Лева</t>
  </si>
  <si>
    <t>Стойност</t>
  </si>
  <si>
    <t>Наименование на видовете СМР</t>
  </si>
  <si>
    <t>Забележка:</t>
  </si>
  <si>
    <t>Попълват се само полетата с жълт цвят!</t>
  </si>
  <si>
    <t>No по ред</t>
  </si>
  <si>
    <t>ДАТА: _____________ г.</t>
  </si>
  <si>
    <t>ПОДПИС и ПЕЧАТ:__________________________</t>
  </si>
  <si>
    <t>_______________________</t>
  </si>
  <si>
    <t>(име и фамилия)</t>
  </si>
  <si>
    <t>______________________</t>
  </si>
  <si>
    <t>(длъжност на представляващия участника)</t>
  </si>
  <si>
    <t>КОЛИЧЕСТВЕНО - СТОЙНОСТНА СМЕТКА №</t>
  </si>
  <si>
    <t>Рехабилитация и разширение на водопроводна и канализационна мрежа на гр.Севлиево</t>
  </si>
  <si>
    <t>ПОМОЩНА СМЕТКА</t>
  </si>
  <si>
    <r>
      <t>- 1 брой СKО безтраншейно полагане- Æ</t>
    </r>
    <r>
      <rPr>
        <b/>
        <sz val="9"/>
        <rFont val="Arial"/>
        <family val="2"/>
      </rPr>
      <t>200 PE100 PN6</t>
    </r>
  </si>
  <si>
    <t>Доставка и полагане на тръба Æ200 PE100 PN6 за СКО</t>
  </si>
  <si>
    <t>Безтраншейно полагане на тръба Æ90 PE100 PN10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</si>
  <si>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</si>
  <si>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</si>
  <si>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r>
      <t>Укрепване и разкрепване на изкоп за канализация - 4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/m'</t>
    </r>
  </si>
  <si>
    <r>
      <t>Безтраншейно полагане на тръба Æ</t>
    </r>
    <r>
      <rPr>
        <sz val="9.9"/>
        <rFont val="Arial"/>
        <family val="2"/>
      </rPr>
      <t>140 PE100 PN10</t>
    </r>
  </si>
  <si>
    <r>
      <t>Доставка на болт М20/100, шайба и гайка (комплект) - между Æ 140 и Æ</t>
    </r>
    <r>
      <rPr>
        <sz val="9.9"/>
        <rFont val="Arial"/>
        <family val="2"/>
      </rPr>
      <t>300</t>
    </r>
    <r>
      <rPr>
        <sz val="11"/>
        <rFont val="Arial"/>
        <family val="2"/>
      </rPr>
      <t xml:space="preserve"> вкл.</t>
    </r>
  </si>
  <si>
    <r>
      <t>Безтраншейно полагане на сградни канализационни отклонения Æ</t>
    </r>
    <r>
      <rPr>
        <sz val="9.9"/>
        <rFont val="Arial"/>
        <family val="2"/>
      </rPr>
      <t>200 PE100 PN6</t>
    </r>
  </si>
  <si>
    <r>
      <t>Направа на сградни канализационни отклонения Æ</t>
    </r>
    <r>
      <rPr>
        <sz val="9.9"/>
        <rFont val="Arial"/>
        <family val="2"/>
      </rPr>
      <t>200 PE100 PN6</t>
    </r>
    <r>
      <rPr>
        <sz val="11"/>
        <rFont val="Arial"/>
        <family val="2"/>
      </rPr>
      <t xml:space="preserve"> при безтраншейно полагане</t>
    </r>
  </si>
  <si>
    <t>Доставка и полагане на PE тръби Æ160 220гр. перфорация SN4</t>
  </si>
  <si>
    <t>КСС №</t>
  </si>
  <si>
    <t>Стойност без ДДС</t>
  </si>
  <si>
    <t>Стойност с включен ДДС</t>
  </si>
  <si>
    <t>I.</t>
  </si>
  <si>
    <t>II.</t>
  </si>
  <si>
    <t>КАНАЛНИ ПОМПЕНИ СТАНЦИИ:</t>
  </si>
  <si>
    <t>КАНАЛИЗАЦИОННИ КЛОНОВЕ, ОТЛИВНИ КАНАЛИ И НАПОРНИ ТРЪБОПРОВОДИ:</t>
  </si>
  <si>
    <t>КПС - ИЗТОК</t>
  </si>
  <si>
    <t>КПС - СЕВЕР</t>
  </si>
  <si>
    <t>КПС - ЮГ</t>
  </si>
  <si>
    <t>Обща стойност на СМР за I:</t>
  </si>
  <si>
    <t>Обща стойност на СМР за II:</t>
  </si>
  <si>
    <t xml:space="preserve">Машинен изкоп с дълбочина до 6,0 m на отвал </t>
  </si>
  <si>
    <t>Обратна засипка със земна маса</t>
  </si>
  <si>
    <t>Доставка и полагане на трошен камък 0-70 mm за подложка под бетонен фундамент</t>
  </si>
  <si>
    <t>Кофражни и декофражни работи</t>
  </si>
  <si>
    <t>Доставка и монтаж на арматура за бетонни фундаменти</t>
  </si>
  <si>
    <t>Доставка  и полагане на бетон В 10</t>
  </si>
  <si>
    <t>Д-ка и полагане на бетон В 15 W0,4</t>
  </si>
  <si>
    <t>Полиетиленово фолио(хидроизолация)</t>
  </si>
  <si>
    <t>ЧАСТ: ЕЛЕКТРОТЕХНИЧЕСКА</t>
  </si>
  <si>
    <t xml:space="preserve">Доставка на разпределително ел. табло (РТ), IP 66 съгласно приложена схема </t>
  </si>
  <si>
    <t>Доставка на единична рогатка L=1,2m за улично осветително тяло</t>
  </si>
  <si>
    <t xml:space="preserve">Доставка на улично осветително тяло с МХЛ 70 W ,IP 65, комплект с лампа </t>
  </si>
  <si>
    <t>Доставка и монтаж на червена лампа с въртящ се рефлектор IP 65</t>
  </si>
  <si>
    <t>Доставка и монтаж на сирена, IP 65</t>
  </si>
  <si>
    <t>Монтаж на разпределително табло РТ на стълб</t>
  </si>
  <si>
    <t xml:space="preserve">Трасиране на изкоп </t>
  </si>
  <si>
    <t>м</t>
  </si>
  <si>
    <t>Направа на изкоп с размери 400 х 800 мм със зариване и трамбоване</t>
  </si>
  <si>
    <t xml:space="preserve">Доставка и полагане на полиетиленова сигнална лента </t>
  </si>
  <si>
    <t>Доставка и полагане на бетон Б 12,5</t>
  </si>
  <si>
    <t>м3</t>
  </si>
  <si>
    <t>Доставка и полагане на HDPE тръба ∅40(вътр.∅32)</t>
  </si>
  <si>
    <t xml:space="preserve">Доставка и изтегляне на кабел LiYCY 4х1 мм2   </t>
  </si>
  <si>
    <t>Доставка и монтаж на поцинкован заземителен кол 63/63/6/1500 мм</t>
  </si>
  <si>
    <t>Доставка и монтаж на монтажен поцинкована шина 40/4 мм</t>
  </si>
  <si>
    <t>Замерване на преходно съпротивление на заземитена инсталация и издаване на протокол</t>
  </si>
  <si>
    <t xml:space="preserve">бр. </t>
  </si>
  <si>
    <t>Пуск и наладка на инсталацията</t>
  </si>
  <si>
    <t>чч</t>
  </si>
  <si>
    <r>
      <t>Доставка и изтегляне на кабел СВТ 5х4 мм</t>
    </r>
    <r>
      <rPr>
        <vertAlign val="superscript"/>
        <sz val="11"/>
        <rFont val="Arial"/>
        <family val="2"/>
      </rPr>
      <t xml:space="preserve">2   </t>
    </r>
  </si>
  <si>
    <r>
      <t>Доставка и изтегляне в тръба на кабел СВТ 3х1,5 мм</t>
    </r>
    <r>
      <rPr>
        <vertAlign val="superscript"/>
        <sz val="11"/>
        <rFont val="Arial"/>
        <family val="2"/>
      </rPr>
      <t xml:space="preserve">2   </t>
    </r>
  </si>
  <si>
    <r>
      <t>Доставка и изтегляне в тръба на кабел СВТ 2х1 мм</t>
    </r>
    <r>
      <rPr>
        <vertAlign val="superscript"/>
        <sz val="11"/>
        <rFont val="Arial"/>
        <family val="2"/>
      </rPr>
      <t xml:space="preserve">2   </t>
    </r>
  </si>
  <si>
    <r>
      <t>Модул КПС  - доставка, монтаж и пускане в експлоатация на канализационни потопяеми помпи (работна и резервна) Q</t>
    </r>
    <r>
      <rPr>
        <vertAlign val="subscript"/>
        <sz val="11"/>
        <color indexed="8"/>
        <rFont val="Arial"/>
        <family val="2"/>
      </rPr>
      <t>ор.</t>
    </r>
    <r>
      <rPr>
        <sz val="11"/>
        <color indexed="8"/>
        <rFont val="Arial"/>
        <family val="2"/>
      </rPr>
      <t>=3,0 l/s; H</t>
    </r>
    <r>
      <rPr>
        <vertAlign val="subscript"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>=20,5 m'; Р</t>
    </r>
    <r>
      <rPr>
        <vertAlign val="subscript"/>
        <sz val="11"/>
        <color indexed="8"/>
        <rFont val="Arial"/>
        <family val="2"/>
      </rPr>
      <t>инст.</t>
    </r>
    <r>
      <rPr>
        <sz val="11"/>
        <color indexed="8"/>
        <rFont val="Arial"/>
        <family val="2"/>
      </rPr>
      <t>=3,9 kW; P</t>
    </r>
    <r>
      <rPr>
        <vertAlign val="subscript"/>
        <sz val="11"/>
        <color indexed="8"/>
        <rFont val="Arial"/>
        <family val="2"/>
      </rPr>
      <t>раб.</t>
    </r>
    <r>
      <rPr>
        <sz val="11"/>
        <color indexed="8"/>
        <rFont val="Arial"/>
        <family val="2"/>
      </rPr>
      <t xml:space="preserve">=3,1 kW; тип на раб.колело – режеща система, вкл.табло за управление, ел.поплавъци, свързващи кабели, автокуплираща система за монтаж, спирателна арматура, аксесоари  и РЕ резервоари (черпателен резервоар и суха арматурна шахта) – </t>
    </r>
    <r>
      <rPr>
        <b/>
        <i/>
        <sz val="11"/>
        <color indexed="8"/>
        <rFont val="Arial"/>
        <family val="2"/>
      </rPr>
      <t>по технологичен детайл и подробна техничска спецификация</t>
    </r>
  </si>
  <si>
    <r>
      <t xml:space="preserve">        КОЛИЧЕСТВЕНО-СТОЙНОСТНА   СМЕТКА </t>
    </r>
    <r>
      <rPr>
        <b/>
        <sz val="16"/>
        <rFont val="Calibri"/>
        <family val="2"/>
      </rPr>
      <t>№</t>
    </r>
  </si>
  <si>
    <t>48.1</t>
  </si>
  <si>
    <t>ЧАСТ:</t>
  </si>
  <si>
    <t xml:space="preserve"> ЕЛЕКТРОТЕХНИЧЕСКА</t>
  </si>
  <si>
    <t>48.3</t>
  </si>
  <si>
    <t>48.2</t>
  </si>
  <si>
    <t xml:space="preserve"> ВиК и Технология</t>
  </si>
  <si>
    <t xml:space="preserve"> КПС "Юг" </t>
  </si>
  <si>
    <t xml:space="preserve"> Строително - конструктивна - фундаментна и покривна плоча на вкопани шахти</t>
  </si>
  <si>
    <t>ВиК и Технология</t>
  </si>
  <si>
    <t>СБОРНА РЕКАПИТУЛАЦИЯ - ПО ТЕХНОЛОГИЧНИ ЧАСТИ</t>
  </si>
  <si>
    <t>ЧАСТ: Строително - конструктивна - фундаментна и покривна плоча на вкопани шахти</t>
  </si>
  <si>
    <t>ЧАСТ: ВиК и Технология</t>
  </si>
  <si>
    <t>Доставка и полагане на бетон В 15 W 0,4</t>
  </si>
  <si>
    <t>Доставка и полагане на полиетиленово фолио (хидроизолация)</t>
  </si>
  <si>
    <t>Доставка на разпределително ел. табло (РТ), IP 66 съгласно приложена схема /в позицията се включва и преместване на апаратурата от Тавр, като същата е доставена в позиция доставка комплект с ДГ/</t>
  </si>
  <si>
    <t xml:space="preserve">Доставка на стоманотръбен стълб с h=8 м (общо 9,5 м, от които 1,5 м  в земята ) </t>
  </si>
  <si>
    <t>Доставка на двойна рогатка L=2х1,2m за 2 улични осветителни тела, разположени на 180 градуса</t>
  </si>
  <si>
    <t>Монтаж на стоманотръбен стълб посредством фундамент /включени необходими материали за направа на фундамент/, двойна рогатка и осветителни тела</t>
  </si>
  <si>
    <t>к-т</t>
  </si>
  <si>
    <t>Доставка и полагане на пясъчна подложка</t>
  </si>
  <si>
    <t>Доставка и изтегляне на проводнкик АL/R 4х16 мм2 (комплект с необходима арматура за ВЛУП) от ЕТ до РТ</t>
  </si>
  <si>
    <t xml:space="preserve">Доставка на дизел генератор (ДГ) с върхова мощност 20kVA/16 kW  и  номинална мощност 18kVA/14,4 kW ,шумозаглушаващ и водозащитен кожух, резервоар за гориво 70 литра, контролен панел с измерителни прибори и защити, подгревател на антифриза, стартерен акумулатор, устройство за подзаряд на акумулатора, комплект с Т авр IP42, комплект с кабели СВТ 5х6 мм2 - 8 м; СВТ 12х1,5 мм2 - 8 м, монтаж върху фундамент на ДГ, наладка и пуск  </t>
  </si>
  <si>
    <t>ЗЕМНИ РАБОТИ</t>
  </si>
  <si>
    <t xml:space="preserve">Изкопи на земни маси на транспорт за достигане на кота земно легло на настилките </t>
  </si>
  <si>
    <r>
      <t>м</t>
    </r>
    <r>
      <rPr>
        <vertAlign val="superscript"/>
        <sz val="11"/>
        <rFont val="Arial"/>
        <family val="2"/>
      </rPr>
      <t>3</t>
    </r>
  </si>
  <si>
    <t>Извозване на земни маси на депо</t>
  </si>
  <si>
    <t>НАСТИЛКИ ПО ДЕТАЙЛ</t>
  </si>
  <si>
    <t>Настилка от сиви бетонови павета</t>
  </si>
  <si>
    <r>
      <t>м</t>
    </r>
    <r>
      <rPr>
        <b/>
        <vertAlign val="superscript"/>
        <sz val="11"/>
        <color indexed="8"/>
        <rFont val="Arial"/>
        <family val="2"/>
      </rPr>
      <t>2</t>
    </r>
  </si>
  <si>
    <t>Доставка, полагане и уплътняване несортиран трошен камък  деб. 50см            (0-75мм) (Е=250 МРа)</t>
  </si>
  <si>
    <r>
      <t>м</t>
    </r>
    <r>
      <rPr>
        <vertAlign val="superscript"/>
        <sz val="11"/>
        <color indexed="8"/>
        <rFont val="Arial"/>
        <family val="2"/>
      </rPr>
      <t>3</t>
    </r>
  </si>
  <si>
    <t>Доставка, полагане и уплътняване на пясък с деб. 4см</t>
  </si>
  <si>
    <t>Доставка и полагане на сиви бетонови павета</t>
  </si>
  <si>
    <r>
      <t>м</t>
    </r>
    <r>
      <rPr>
        <vertAlign val="superscript"/>
        <sz val="11"/>
        <color indexed="8"/>
        <rFont val="Arial"/>
        <family val="2"/>
      </rPr>
      <t>2</t>
    </r>
  </si>
  <si>
    <t>Легнали бетонови бордюри</t>
  </si>
  <si>
    <t>Подложен бетон В10</t>
  </si>
  <si>
    <t>Доставка и полагане на бетонови бордюри</t>
  </si>
  <si>
    <t xml:space="preserve">Машинен изкоп с дълбочина до 1,0 m на транспорт </t>
  </si>
  <si>
    <t>Извозване на земни маси от изкоп за ограда на депо до 5 km</t>
  </si>
  <si>
    <t>Доставка и полагане на бетон В 15</t>
  </si>
  <si>
    <t>Монтаж на метални тръби (колове) за ограда с височина Н=2,90 m'</t>
  </si>
  <si>
    <t xml:space="preserve">Доставка и монтаж на мрежа ф5  4/4 </t>
  </si>
  <si>
    <t xml:space="preserve">Изготвяне и монтаж на портална врата - метална </t>
  </si>
  <si>
    <t>Закладни части за портална врата</t>
  </si>
  <si>
    <t>Доставка и монтаж на бодлива тел</t>
  </si>
  <si>
    <t>Доставка и монтаж на поцинкована тел</t>
  </si>
  <si>
    <t>Доставка и монтаж на лагерни панти</t>
  </si>
  <si>
    <t>Паркоустройство</t>
  </si>
  <si>
    <t>Иглолистни видове:</t>
  </si>
  <si>
    <t>Abies alba</t>
  </si>
  <si>
    <t>бр</t>
  </si>
  <si>
    <t>Chameacyparis lawsoniana</t>
  </si>
  <si>
    <t>Thuja orientalis</t>
  </si>
  <si>
    <t>Широколистни видове:</t>
  </si>
  <si>
    <t>Acer campestre</t>
  </si>
  <si>
    <t>Cercis siliquastrum</t>
  </si>
  <si>
    <t>Crataegus oxyacantha</t>
  </si>
  <si>
    <t xml:space="preserve">Eleagnus angustifolia </t>
  </si>
  <si>
    <t>Quercus rubra</t>
  </si>
  <si>
    <t>Храсти:</t>
  </si>
  <si>
    <t>Cotoneaster horizontalis</t>
  </si>
  <si>
    <t>Euonymus japonicus</t>
  </si>
  <si>
    <t>Forsythia x intermedia</t>
  </si>
  <si>
    <t>Ligustrum ovalifolium</t>
  </si>
  <si>
    <t>Spiraea japonica 'Dart's Red'</t>
  </si>
  <si>
    <t>м2</t>
  </si>
  <si>
    <t>47.1</t>
  </si>
  <si>
    <t xml:space="preserve"> КПС "Север"</t>
  </si>
  <si>
    <t>47.2</t>
  </si>
  <si>
    <t>47.3</t>
  </si>
  <si>
    <t>47.4</t>
  </si>
  <si>
    <t xml:space="preserve"> ВЕРТИКАЛНА ПЛАНИРОВКА</t>
  </si>
  <si>
    <t xml:space="preserve"> Строително - конструктивна - Ограда и портална врата</t>
  </si>
  <si>
    <t xml:space="preserve"> Паркоустройство</t>
  </si>
  <si>
    <t xml:space="preserve">        КОЛИЧЕСТВЕНО-СТОЙНОСТНА   СМЕТКА №</t>
  </si>
  <si>
    <r>
      <t>Модул КПС  - доставка, монтаж и пускане в експлоатация на канализационни потопяеми помпи (работна и резервна) Q</t>
    </r>
    <r>
      <rPr>
        <vertAlign val="subscript"/>
        <sz val="11"/>
        <color indexed="8"/>
        <rFont val="Arial"/>
        <family val="2"/>
      </rPr>
      <t>ор.</t>
    </r>
    <r>
      <rPr>
        <sz val="11"/>
        <color indexed="8"/>
        <rFont val="Arial"/>
        <family val="2"/>
      </rPr>
      <t>=14,0 l/s; H</t>
    </r>
    <r>
      <rPr>
        <vertAlign val="subscript"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>=12,0 m'; Р</t>
    </r>
    <r>
      <rPr>
        <vertAlign val="subscript"/>
        <sz val="11"/>
        <color indexed="8"/>
        <rFont val="Arial"/>
        <family val="2"/>
      </rPr>
      <t>инст.</t>
    </r>
    <r>
      <rPr>
        <sz val="11"/>
        <color indexed="8"/>
        <rFont val="Arial"/>
        <family val="2"/>
      </rPr>
      <t>=4,8 kW; P</t>
    </r>
    <r>
      <rPr>
        <vertAlign val="subscript"/>
        <sz val="11"/>
        <color indexed="8"/>
        <rFont val="Arial"/>
        <family val="2"/>
      </rPr>
      <t>раб.</t>
    </r>
    <r>
      <rPr>
        <sz val="11"/>
        <color indexed="8"/>
        <rFont val="Arial"/>
        <family val="2"/>
      </rPr>
      <t xml:space="preserve">=4,0 kW; свободен проход на раб.колело -50 mm, вкл.табло за управление, ел.поплавъци, свързващи кабели, автокуплираща система за монтаж, спирателна арматура, аксесоари  и РЕ резервоари (черпателен резервоар и суха арматурна шахта) – </t>
    </r>
    <r>
      <rPr>
        <b/>
        <i/>
        <sz val="11"/>
        <color indexed="8"/>
        <rFont val="Arial"/>
        <family val="2"/>
      </rPr>
      <t>по технологичен детайл и подробна техническа спецификация</t>
    </r>
  </si>
  <si>
    <r>
      <t>м</t>
    </r>
    <r>
      <rPr>
        <vertAlign val="superscript"/>
        <sz val="11"/>
        <rFont val="Arial"/>
        <family val="2"/>
      </rPr>
      <t>2</t>
    </r>
  </si>
  <si>
    <r>
      <t xml:space="preserve">Почистване и частично затревяване </t>
    </r>
    <r>
      <rPr>
        <sz val="11"/>
        <rFont val="Arial"/>
        <family val="2"/>
      </rPr>
      <t>(кв.м.)</t>
    </r>
  </si>
  <si>
    <t>47.5</t>
  </si>
  <si>
    <t>47.6</t>
  </si>
  <si>
    <t>Доставка и засаждане на растенията:</t>
  </si>
  <si>
    <t>Почистване и частично затревяване- чрез подсяване с тревно семе</t>
  </si>
  <si>
    <t>ЧАСТ:  Паркоустройство</t>
  </si>
  <si>
    <t>ЧАСТ: Строително - конструктивна - Ограда и портална врата</t>
  </si>
  <si>
    <t>ЧАСТ: ВЕРТИКАЛНА ПЛАНИРОВКА</t>
  </si>
  <si>
    <t>по т. 1.1 от Ценовото предложение (оферта)</t>
  </si>
  <si>
    <t>ОБОБЩЕНА СТОЙНОСТНА  СМЕТКА - СМР за Канализация</t>
  </si>
  <si>
    <t>Обща стойност на СМР за Канализация (I + II):</t>
  </si>
  <si>
    <t xml:space="preserve">Доставка на стоманотръбен стълб с h=5 м (общо 6,2 м, от които 1,2 м  в земята ) </t>
  </si>
  <si>
    <t>Монтаж на стоманотръбен стълб посредством фундамент /включени необходими материали за направа на фундамент/, единична рогатка и осветително тяло</t>
  </si>
  <si>
    <t xml:space="preserve">Изрязване и възстановяване на асфалтова ивица с ширина 500 мм </t>
  </si>
  <si>
    <t>Доставка и полагане на тръби  ∅110</t>
  </si>
  <si>
    <t>Доставка и изтегляне на проводнкик АL/R 4х16 мм2 (комплект с необходима арматура за ВЛУП) от електромерно табло до 1-ви стълб</t>
  </si>
  <si>
    <t>Направа на двойна кабелна шахта съгласно проект, комплект с необходими материали: рамка, 2 капака, единични тухли,  цимент и пясък</t>
  </si>
  <si>
    <t xml:space="preserve">Доставка на дизел генератор (ДГ) с върхова мощност 15,5kVA/12,5 kW  и  номинална мощност 14,5kVA/11,6 kW ,шумозаглушаващ и водозащитен кожух, резервоар за гориво 70 литра, контролен панел с измерителни прибори и защити, подгревател на антифриза, стартерен акумулатор, устройство за подзаряд на акумулатора, комплект с Т авр IP42, комплект с кабели СВТ 5х4 мм2 - 5 м; СВТ 12х1,5 мм2 - 5 м, монтаж върху фундамент на ДГ, наладка и пуск  </t>
  </si>
  <si>
    <t>Доставка и полагане на легнали бетонови бордюри</t>
  </si>
  <si>
    <t xml:space="preserve">Доставка и монтаж на поцинкована мрежа ф4   4/4 </t>
  </si>
  <si>
    <t>Tilia argentea</t>
  </si>
  <si>
    <t>Cornus sanguinea</t>
  </si>
  <si>
    <r>
      <t>Модул КПС  - доставка, монтаж и пускане в експлоатация на канализационни потопяеми помпи (работна и резервна) Q</t>
    </r>
    <r>
      <rPr>
        <vertAlign val="subscript"/>
        <sz val="11"/>
        <color indexed="8"/>
        <rFont val="Arial"/>
        <family val="2"/>
      </rPr>
      <t>ор.</t>
    </r>
    <r>
      <rPr>
        <sz val="11"/>
        <color indexed="8"/>
        <rFont val="Arial"/>
        <family val="2"/>
      </rPr>
      <t>=6,0 l/s; H</t>
    </r>
    <r>
      <rPr>
        <vertAlign val="subscript"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>=13,0 m'; Р</t>
    </r>
    <r>
      <rPr>
        <vertAlign val="subscript"/>
        <sz val="11"/>
        <color indexed="8"/>
        <rFont val="Arial"/>
        <family val="2"/>
      </rPr>
      <t>инст.</t>
    </r>
    <r>
      <rPr>
        <sz val="11"/>
        <color indexed="8"/>
        <rFont val="Arial"/>
        <family val="2"/>
      </rPr>
      <t>=2,2 kW; P</t>
    </r>
    <r>
      <rPr>
        <vertAlign val="subscript"/>
        <sz val="11"/>
        <color indexed="8"/>
        <rFont val="Arial"/>
        <family val="2"/>
      </rPr>
      <t>раб.</t>
    </r>
    <r>
      <rPr>
        <sz val="11"/>
        <color indexed="8"/>
        <rFont val="Arial"/>
        <family val="2"/>
      </rPr>
      <t xml:space="preserve">=1,5 kW; свободен проход на раб.колело -50 mm, вкл.табло за управление, ел.поплавъци, свързващи кабели, автокуплираща система за монтаж, спирателна арматура, аксесоари  и РЕ резервоари (черпателен резервоар и суха арматурна шахта) – </t>
    </r>
    <r>
      <rPr>
        <b/>
        <i/>
        <sz val="11"/>
        <color indexed="8"/>
        <rFont val="Arial"/>
        <family val="2"/>
      </rPr>
      <t>по технологичен детайл и подробна техническа спецификация</t>
    </r>
  </si>
  <si>
    <t>46.1</t>
  </si>
  <si>
    <t xml:space="preserve"> КПС "Изток"</t>
  </si>
  <si>
    <t>46.2</t>
  </si>
  <si>
    <t>ЕЛЕКТРОТЕХНИЧЕСКА</t>
  </si>
  <si>
    <t>46.3</t>
  </si>
  <si>
    <t>46.4</t>
  </si>
  <si>
    <t>ВЕРТИКАЛНА ПЛАНИРОВКА</t>
  </si>
  <si>
    <t>Строително - конструктивна - Ограда и входна портална врата</t>
  </si>
  <si>
    <t>46.5</t>
  </si>
  <si>
    <t>Почистване и частично затревяване - чрез подсяване с тревно семе</t>
  </si>
  <si>
    <t>46.6</t>
  </si>
  <si>
    <t>1.1</t>
  </si>
  <si>
    <t>1.2</t>
  </si>
  <si>
    <t>1.3</t>
  </si>
  <si>
    <t>2.1</t>
  </si>
  <si>
    <t>2.2</t>
  </si>
  <si>
    <t>1</t>
  </si>
  <si>
    <t>2</t>
  </si>
  <si>
    <t>3</t>
  </si>
  <si>
    <t>ИЗПЪЛНИТЕЛ:</t>
  </si>
  <si>
    <t>Договор с изпълнител №:</t>
  </si>
  <si>
    <t xml:space="preserve">ОБЕКТ: </t>
  </si>
  <si>
    <t xml:space="preserve">ВЪЗЛОЖИТЕЛ: </t>
  </si>
  <si>
    <t xml:space="preserve">ПОДОБЕКТ: </t>
  </si>
  <si>
    <t xml:space="preserve">Клон 20-I смесена канализация по ул."Бузлуджа" -участък от РШ 51 до заустване в РШ46 (о.т.181) на Клон 17-I с L=67m' </t>
  </si>
  <si>
    <t>Община Севлиево</t>
  </si>
  <si>
    <t xml:space="preserve">Клон 17-I смесена канализация по ул."Уилиам Гладстон" -участък от о.т.181 до заустване в СРШ с L=185m' </t>
  </si>
  <si>
    <t xml:space="preserve">Клон 19-I смесена канализация по ул."Уилиам Гладстон" -участък от РШ 102 до заустване в РШ46 (о.т.181) на Клон 17-I с L=138m' </t>
  </si>
  <si>
    <t xml:space="preserve">Главен клон II смесена канализация по ул."Неофит Рилски", ул."Ал.Стамболийски", ул."Стоян Бъчваров", ул."Св.Св.Кирил и Методий", ул."Втори юли" и ул."Никола Дабев"-участък от о.т. 257 до СРШ на кръстовището с ул."Братя Бъкстон" и от СРШ на кръстовището с ул."Стара планина" до заустване в СРШ (о.т.159) с L=1501m' </t>
  </si>
  <si>
    <t>Главен клон III смесена канализация по ул."Дядо Ф.Радев", ул."Хаджи Ангел", ул."Петко Р.Славейков" и ул."Св.Св. Кирил и Методий"-от РШ 107 преди о.т.848 до заустване в РШ 64 на Гл.клон II (о.т.205) с L=1053m</t>
  </si>
  <si>
    <t xml:space="preserve">Клон 3-III смесена канализация по ул."Атанас Влаев"-от о.т.862 до заустване в РШ 115 на Гл.клон III (о.т.876) с L=154m' </t>
  </si>
  <si>
    <t xml:space="preserve">Клон 4-III смесена канализация по ул."Хаджи Ангел"-от РШ 132 след о.т.879 до заустване в РШ 131 на Клон 3-III (ул.Атанас Влаев) с L=71m' </t>
  </si>
  <si>
    <t xml:space="preserve">Главен клон IV смесена канализация по ул."Видима", ул."Мара Гидик", ул."Славянска", ул."Стефан Пешев", ул."Княз Александър Батемберг", ул."Ботьо Ангелов", ул."Доктор Л.Л.Заменхоф", ул."Хаджи Димитър" и ул."Никола Дабев"-участък от о.т.758 до заустване в РШ 75 на Гл.клон II (о.т.158) с L=1798m' </t>
  </si>
  <si>
    <t>Отливен канал 6 - от Дъждопреливник No6 до брегово заустване в р.Росица с L=278m'</t>
  </si>
  <si>
    <t xml:space="preserve"> Клон 39-IV смесена канализация по ул."Канлъдере" -участък от РШ 211 след о.т.601 до заустване в РШ 165 на Гл.клон IV (о.т.616) с L=139m' </t>
  </si>
  <si>
    <t xml:space="preserve"> Клон 42-IV смесена канализация по ул."Петко Р.Славейков" -участък от о.т.526 до заустване в СРШ на ул."Стара планина"(о.т.527) с L=79m' </t>
  </si>
  <si>
    <t xml:space="preserve">Клон 43-IV смесена канализация по ул."Доктор Иван Филипов" -участък от РШ 217 след о.т.504 до заустване в РШ 216 на Клон 42-IV (ул.Петко Р.Славейков) с L=109m' </t>
  </si>
  <si>
    <t xml:space="preserve">Клон 45-IV смесена канализация по ул."Доктор Стойчо Христов" и ул."Ген.Скобелев" -участък от РШ 219 до заустване в СРШ  (о.т.502) с L=192m' </t>
  </si>
  <si>
    <t xml:space="preserve">Клон 46-IV смесена канализация по ул."Ген.Скобелев" -участък от о.т.517 до заустване в РШ 221 на Клон 45-IV (о.т.516) с L=54m' </t>
  </si>
  <si>
    <t xml:space="preserve">Главен клон V смесена канализация по ул."Христо Ботев", ул."Марин Попов", ул."Опълченска" и ул."Славянска" -участък от РШ 259 след о.т.848 до заустване в РШ 155 на Гл.клон IV (о.т.653) с L=837m' </t>
  </si>
  <si>
    <t>ОБОБЩЕН ОПИС НА АНАЛИЗНИТЕ ЕДИНИЧНИ ЦЕНИ ЗА ВИДОВЕТЕ СМР</t>
  </si>
  <si>
    <t>Шифър</t>
  </si>
  <si>
    <r>
      <t>Доставка на болт М16/80, шайба и гайка (комплект) - до Æ</t>
    </r>
    <r>
      <rPr>
        <sz val="9.9"/>
        <rFont val="Arial"/>
        <family val="2"/>
      </rPr>
      <t xml:space="preserve"> </t>
    </r>
    <r>
      <rPr>
        <sz val="11"/>
        <rFont val="Arial"/>
        <family val="2"/>
      </rPr>
      <t>125 вкл.</t>
    </r>
  </si>
  <si>
    <r>
      <t>Доставка на болт М20/100, шайба и гайка (комплект) - между Æ 150 и Æ</t>
    </r>
    <r>
      <rPr>
        <sz val="9.9"/>
        <rFont val="Arial"/>
        <family val="2"/>
      </rPr>
      <t>300</t>
    </r>
    <r>
      <rPr>
        <sz val="11"/>
        <rFont val="Arial"/>
        <family val="2"/>
      </rPr>
      <t xml:space="preserve"> вкл.</t>
    </r>
  </si>
  <si>
    <r>
      <t>Доставка и монтаж на преход с вътрешна резба Æ</t>
    </r>
    <r>
      <rPr>
        <sz val="9.9"/>
        <rFont val="Arial"/>
        <family val="2"/>
      </rPr>
      <t>90-1 1/4"</t>
    </r>
  </si>
  <si>
    <r>
      <t>Доставка и монтаж на тапа Æ</t>
    </r>
    <r>
      <rPr>
        <sz val="9.9"/>
        <rFont val="Arial"/>
        <family val="2"/>
      </rPr>
      <t>90 PE100 PN10</t>
    </r>
  </si>
  <si>
    <r>
      <t>Безтраншейно полагане на сградни водопроводни отклонения Æ</t>
    </r>
    <r>
      <rPr>
        <sz val="9.9"/>
        <rFont val="Arial"/>
        <family val="2"/>
      </rPr>
      <t>25</t>
    </r>
  </si>
  <si>
    <t>ПОДПИС и ПЕЧАТ:</t>
  </si>
  <si>
    <t xml:space="preserve">Клон 6-V смесена канализация по ул."Асенова" и ул."Митко Палаузов" -участък от РШ 281 преди о.т.893 до заустване в СРШ (о.т.894) с L=109m' </t>
  </si>
  <si>
    <t xml:space="preserve">Клон 9-V смесена канализация по ул."Доктор Иван Филипов" и ул."Опълченска"-участък от РШ 284 след о.т.503 до заустване в РШ 276 на Гл.клон V (о.т.648) с L=147m' </t>
  </si>
  <si>
    <t>Главен клон VI смесена канализация по ул."Иван Преснаков", ул."Стефан Пешев" и ул."Света Троица"-участък от РШ 288 преди о.т.543 до заустване в РШ 173 на Гл.клон IV (о.т.429) с L=465m'</t>
  </si>
  <si>
    <t xml:space="preserve"> Клон 1-VII смесена канализация по ул."Свети Княз Борис I"-участък от РШ 303 след о.т.427 до заустване в СРШ (ул.Априлци) с L=89m'</t>
  </si>
  <si>
    <t>Главен клон VIII смесена канализация по ул."Хубан Кънев"-участък от РШ 305 преди о.т.590 до заустване в СРШ на Гл.колектор I (о.т.396) с L=641m'</t>
  </si>
  <si>
    <t>Клон 2-VIII смесена канализация по ул."Свети Княз Борис I"-участък от РШ 317 след о.т.576 до заустване в РШ 309 на Гл.клон VIII (о.т.588) с L=59m'</t>
  </si>
  <si>
    <t>Клон 3-VIII смесена канализация по ул."Раковска" и ул."Свети Княз Борис I"-участък от РШ 318 след о.т.600 до заустване в РШ 310 на Гл.клон VIII  с L=340m'</t>
  </si>
  <si>
    <t>Клон 6-VIII смесена канализация по ул."Свети Княз Борис I"-участък от о.т.586 до заустване в РШ 324 на Клон 3-VIII (о.т.587) с L=98m'</t>
  </si>
  <si>
    <t>Клон 10-VIII смесена канализация по ул."Свети Княз Борис I"-участък от РШ 334 преди о.т.412 до заустване в СРШ на ул."Васил Левски"(о.т.4131) с L=71m'</t>
  </si>
  <si>
    <t xml:space="preserve"> Главен клон IX смесена канализация по ул."Велика и Георги Ченчеви", ул."Андрея Станков", ул."Иван К.Устабашиев", ул."Иван Ночев Иванов", ул."Крушевска", ул."Васил Левски" и ул."Ахмед Татаров"-участък от о.т.755 до заустване в СРШ на Гл.колектор I с L=2004m' </t>
  </si>
  <si>
    <t xml:space="preserve"> Клон 5-IX смесена канализация по ул."Гочо Москов"-участък от о.т.675 до заустване в РШ 362 на Гл.клон IX (о.т.672) с L=77m'</t>
  </si>
  <si>
    <t>Клон 9-IX смесена канализация по ул."Гочо Москов" и ул."Стефан Караджа"-участък от РШ 388 след о.т.629 до заустване в РШ 370 на Гл.клон IX (ул.Крушевска) с L=510m'</t>
  </si>
  <si>
    <t xml:space="preserve">Клон 5-V смесена канализация по ул."Отец Паисий" -от РШ 279 след о.т.896 до заустване в СРШ (о.т.894) на ул."Митко Палаузов" с L=92m' </t>
  </si>
  <si>
    <t>Мобилен дизелагрегат за аварийно захранване на КПС "Юг"</t>
  </si>
  <si>
    <t>48.4</t>
  </si>
  <si>
    <t xml:space="preserve"> ЕЛЕКТРОТЕХНИЧЕСКА - по ОПОС</t>
  </si>
  <si>
    <t xml:space="preserve"> ЕЛЕКТРОТЕХНИЧЕСКА - финансиране от Община Севлиево</t>
  </si>
  <si>
    <t xml:space="preserve">Аварийно захранване на КПС"ЮГ" </t>
  </si>
  <si>
    <t>ЧАСТ: ЕЛЕКТРОТЕХНИЧЕСКА - по ОПОС</t>
  </si>
  <si>
    <t>Договорни СМР - финансирани по ОПОС:</t>
  </si>
  <si>
    <t>I.A.</t>
  </si>
  <si>
    <t>I.Б.</t>
  </si>
  <si>
    <t>Договорни СМР - финансирани от Община Севлиево:</t>
  </si>
  <si>
    <t>Обща стойност на СМР - финансирани по ОПОС: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</si>
</sst>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#,##0.00\ &quot;лв.&quot;"/>
    <numFmt numFmtId="193" formatCode="_-* #,##0.00_-;\-* #,##0.00_-;_-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i/>
      <u val="single"/>
      <sz val="12"/>
      <name val="Arial"/>
      <family val="2"/>
    </font>
    <font>
      <b/>
      <sz val="11"/>
      <color indexed="8"/>
      <name val="Arial"/>
      <family val="2"/>
    </font>
    <font>
      <sz val="9.9"/>
      <name val="Arial"/>
      <family val="2"/>
    </font>
    <font>
      <sz val="11"/>
      <color indexed="10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12"/>
      <name val="Arial"/>
      <family val="2"/>
    </font>
    <font>
      <sz val="10"/>
      <name val="TmsCyr"/>
      <family val="1"/>
    </font>
    <font>
      <sz val="11"/>
      <name val="Arial Narrow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6"/>
      <color indexed="8"/>
      <name val="Arial"/>
      <family val="2"/>
    </font>
    <font>
      <i/>
      <sz val="2"/>
      <name val="Arial"/>
      <family val="2"/>
    </font>
    <font>
      <sz val="2"/>
      <color indexed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i/>
      <sz val="11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sz val="10"/>
      <color indexed="55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i/>
      <sz val="14"/>
      <color indexed="10"/>
      <name val="Arial"/>
      <family val="2"/>
    </font>
    <font>
      <b/>
      <i/>
      <sz val="11"/>
      <color indexed="55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2"/>
      <color indexed="55"/>
      <name val="Arial"/>
      <family val="2"/>
    </font>
    <font>
      <b/>
      <i/>
      <sz val="2"/>
      <color indexed="10"/>
      <name val="Arial"/>
      <family val="2"/>
    </font>
    <font>
      <b/>
      <sz val="2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45" fillId="3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2" fontId="12" fillId="0" borderId="16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12" fillId="0" borderId="10" xfId="57" applyFont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Continuous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2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wrapText="1"/>
    </xf>
    <xf numFmtId="1" fontId="12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25" fillId="0" borderId="0" xfId="0" applyFont="1" applyAlignment="1">
      <alignment/>
    </xf>
    <xf numFmtId="0" fontId="7" fillId="0" borderId="0" xfId="57" applyFont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57" applyFont="1" applyFill="1" applyBorder="1" applyAlignment="1">
      <alignment horizontal="center" vertical="center"/>
      <protection/>
    </xf>
    <xf numFmtId="2" fontId="12" fillId="0" borderId="0" xfId="0" applyNumberFormat="1" applyFont="1" applyAlignment="1">
      <alignment horizontal="center" vertical="center"/>
    </xf>
    <xf numFmtId="0" fontId="7" fillId="0" borderId="0" xfId="57" applyFont="1" applyFill="1" applyBorder="1" applyAlignment="1">
      <alignment wrapText="1"/>
      <protection/>
    </xf>
    <xf numFmtId="0" fontId="7" fillId="0" borderId="0" xfId="57" applyFont="1" applyFill="1" applyBorder="1" applyAlignment="1">
      <alignment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60" applyFont="1">
      <alignment/>
      <protection/>
    </xf>
    <xf numFmtId="2" fontId="7" fillId="0" borderId="0" xfId="0" applyNumberFormat="1" applyFont="1" applyFill="1" applyBorder="1" applyAlignment="1">
      <alignment horizontal="center" vertical="center"/>
    </xf>
    <xf numFmtId="0" fontId="12" fillId="0" borderId="17" xfId="57" applyFont="1" applyBorder="1" applyAlignment="1">
      <alignment horizontal="center" vertical="center"/>
      <protection/>
    </xf>
    <xf numFmtId="0" fontId="25" fillId="0" borderId="17" xfId="0" applyFont="1" applyBorder="1" applyAlignment="1">
      <alignment horizontal="left" wrapText="1"/>
    </xf>
    <xf numFmtId="0" fontId="12" fillId="0" borderId="17" xfId="57" applyFont="1" applyFill="1" applyBorder="1" applyAlignment="1">
      <alignment horizontal="centerContinuous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2" fontId="12" fillId="0" borderId="17" xfId="57" applyNumberFormat="1" applyFont="1" applyFill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distributed"/>
      <protection/>
    </xf>
    <xf numFmtId="0" fontId="25" fillId="0" borderId="17" xfId="0" applyFont="1" applyBorder="1" applyAlignment="1">
      <alignment horizontal="left" vertical="distributed" wrapText="1"/>
    </xf>
    <xf numFmtId="0" fontId="12" fillId="0" borderId="17" xfId="57" applyFont="1" applyFill="1" applyBorder="1" applyAlignment="1">
      <alignment horizontal="center" vertical="distributed" wrapText="1"/>
      <protection/>
    </xf>
    <xf numFmtId="2" fontId="12" fillId="0" borderId="17" xfId="57" applyNumberFormat="1" applyFont="1" applyFill="1" applyBorder="1" applyAlignment="1">
      <alignment horizontal="center" vertical="distributed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/>
      <protection/>
    </xf>
    <xf numFmtId="0" fontId="11" fillId="0" borderId="0" xfId="57" applyFont="1" applyAlignment="1">
      <alignment horizontal="right"/>
      <protection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 horizontal="right"/>
      <protection/>
    </xf>
    <xf numFmtId="0" fontId="47" fillId="0" borderId="0" xfId="57" applyFont="1" applyAlignment="1">
      <alignment horizontal="left"/>
      <protection/>
    </xf>
    <xf numFmtId="0" fontId="48" fillId="0" borderId="0" xfId="57" applyFont="1" applyAlignment="1">
      <alignment horizontal="center"/>
      <protection/>
    </xf>
    <xf numFmtId="0" fontId="7" fillId="0" borderId="0" xfId="0" applyFont="1" applyFill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distributed" wrapText="1"/>
    </xf>
    <xf numFmtId="2" fontId="12" fillId="0" borderId="10" xfId="57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2" fontId="12" fillId="0" borderId="17" xfId="0" applyNumberFormat="1" applyFont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7" fillId="0" borderId="0" xfId="57" applyFont="1" applyFill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193" fontId="12" fillId="33" borderId="10" xfId="42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 quotePrefix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93" fontId="25" fillId="33" borderId="10" xfId="42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0" xfId="0" applyFont="1" applyAlignment="1">
      <alignment/>
    </xf>
    <xf numFmtId="2" fontId="7" fillId="0" borderId="25" xfId="58" applyNumberFormat="1" applyFont="1" applyBorder="1" applyAlignment="1">
      <alignment horizontal="right"/>
      <protection/>
    </xf>
    <xf numFmtId="0" fontId="12" fillId="0" borderId="10" xfId="0" applyFont="1" applyBorder="1" applyAlignment="1">
      <alignment horizontal="center"/>
    </xf>
    <xf numFmtId="2" fontId="12" fillId="0" borderId="25" xfId="58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2" fontId="7" fillId="0" borderId="26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1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193" fontId="12" fillId="0" borderId="10" xfId="42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193" fontId="17" fillId="0" borderId="10" xfId="42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193" fontId="25" fillId="0" borderId="10" xfId="42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193" fontId="7" fillId="0" borderId="10" xfId="42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7" fillId="0" borderId="28" xfId="57" applyFont="1" applyBorder="1">
      <alignment/>
      <protection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7" fillId="0" borderId="23" xfId="57" applyFont="1" applyBorder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21" fillId="0" borderId="0" xfId="58" applyFont="1">
      <alignment/>
      <protection/>
    </xf>
    <xf numFmtId="0" fontId="21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20" fillId="0" borderId="24" xfId="58" applyFont="1" applyBorder="1">
      <alignment/>
      <protection/>
    </xf>
    <xf numFmtId="0" fontId="21" fillId="0" borderId="24" xfId="58" applyFont="1" applyBorder="1">
      <alignment/>
      <protection/>
    </xf>
    <xf numFmtId="0" fontId="12" fillId="0" borderId="10" xfId="0" applyFont="1" applyBorder="1" applyAlignment="1">
      <alignment vertical="distributed"/>
    </xf>
    <xf numFmtId="0" fontId="12" fillId="0" borderId="10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21" fillId="0" borderId="24" xfId="58" applyFont="1" applyBorder="1" applyAlignment="1">
      <alignment horizontal="center" vertical="distributed"/>
      <protection/>
    </xf>
    <xf numFmtId="0" fontId="12" fillId="0" borderId="24" xfId="0" applyFont="1" applyBorder="1" applyAlignment="1">
      <alignment horizontal="center" vertical="distributed"/>
    </xf>
    <xf numFmtId="2" fontId="7" fillId="0" borderId="24" xfId="0" applyNumberFormat="1" applyFont="1" applyBorder="1" applyAlignment="1">
      <alignment horizontal="center" vertical="distributed"/>
    </xf>
    <xf numFmtId="2" fontId="21" fillId="0" borderId="24" xfId="0" applyNumberFormat="1" applyFont="1" applyBorder="1" applyAlignment="1">
      <alignment horizontal="center" vertical="distributed"/>
    </xf>
    <xf numFmtId="2" fontId="12" fillId="0" borderId="24" xfId="0" applyNumberFormat="1" applyFont="1" applyBorder="1" applyAlignment="1">
      <alignment horizontal="center" vertical="distributed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2" fontId="7" fillId="0" borderId="29" xfId="58" applyNumberFormat="1" applyFont="1" applyBorder="1" applyAlignment="1">
      <alignment horizontal="center"/>
      <protection/>
    </xf>
    <xf numFmtId="2" fontId="12" fillId="0" borderId="25" xfId="58" applyNumberFormat="1" applyFont="1" applyBorder="1" applyAlignment="1">
      <alignment horizontal="center" vertical="distributed"/>
      <protection/>
    </xf>
    <xf numFmtId="2" fontId="7" fillId="0" borderId="25" xfId="58" applyNumberFormat="1" applyFont="1" applyBorder="1" applyAlignment="1">
      <alignment horizontal="center" vertical="distributed"/>
      <protection/>
    </xf>
    <xf numFmtId="2" fontId="21" fillId="0" borderId="25" xfId="58" applyNumberFormat="1" applyFont="1" applyBorder="1" applyAlignment="1">
      <alignment horizontal="center" vertical="distributed"/>
      <protection/>
    </xf>
    <xf numFmtId="2" fontId="12" fillId="0" borderId="25" xfId="0" applyNumberFormat="1" applyFont="1" applyBorder="1" applyAlignment="1">
      <alignment horizontal="center" vertical="distributed"/>
    </xf>
    <xf numFmtId="0" fontId="12" fillId="0" borderId="16" xfId="0" applyFont="1" applyFill="1" applyBorder="1" applyAlignment="1">
      <alignment horizontal="center" vertical="distributed"/>
    </xf>
    <xf numFmtId="0" fontId="12" fillId="0" borderId="0" xfId="0" applyFont="1" applyAlignment="1">
      <alignment vertical="distributed"/>
    </xf>
    <xf numFmtId="192" fontId="7" fillId="0" borderId="0" xfId="0" applyNumberFormat="1" applyFont="1" applyFill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" fontId="12" fillId="0" borderId="10" xfId="0" applyNumberFormat="1" applyFont="1" applyBorder="1" applyAlignment="1">
      <alignment horizontal="right" vertical="center" wrapText="1"/>
    </xf>
    <xf numFmtId="4" fontId="7" fillId="0" borderId="30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0" fillId="0" borderId="0" xfId="57" applyFont="1" applyAlignment="1">
      <alignment horizontal="center"/>
      <protection/>
    </xf>
    <xf numFmtId="0" fontId="34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2" fillId="0" borderId="10" xfId="57" applyFont="1" applyFill="1" applyBorder="1" applyAlignment="1">
      <alignment horizontal="center" vertical="center"/>
      <protection/>
    </xf>
    <xf numFmtId="2" fontId="12" fillId="0" borderId="10" xfId="58" applyNumberFormat="1" applyFont="1" applyBorder="1" applyAlignment="1">
      <alignment horizontal="center" vertical="distributed"/>
      <protection/>
    </xf>
    <xf numFmtId="0" fontId="25" fillId="0" borderId="10" xfId="0" applyFont="1" applyBorder="1" applyAlignment="1">
      <alignment vertical="distributed"/>
    </xf>
    <xf numFmtId="0" fontId="12" fillId="0" borderId="10" xfId="57" applyFont="1" applyBorder="1" applyAlignment="1">
      <alignment horizontal="center" vertical="distributed"/>
      <protection/>
    </xf>
    <xf numFmtId="0" fontId="12" fillId="0" borderId="10" xfId="57" applyFont="1" applyFill="1" applyBorder="1" applyAlignment="1">
      <alignment horizontal="center" vertical="distributed" wrapText="1"/>
      <protection/>
    </xf>
    <xf numFmtId="2" fontId="12" fillId="0" borderId="10" xfId="57" applyNumberFormat="1" applyFont="1" applyFill="1" applyBorder="1" applyAlignment="1">
      <alignment horizontal="center" vertical="distributed"/>
      <protection/>
    </xf>
    <xf numFmtId="0" fontId="12" fillId="0" borderId="10" xfId="0" applyFont="1" applyBorder="1" applyAlignment="1">
      <alignment vertical="distributed" wrapText="1"/>
    </xf>
    <xf numFmtId="193" fontId="7" fillId="33" borderId="23" xfId="42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193" fontId="12" fillId="0" borderId="16" xfId="42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 quotePrefix="1">
      <alignment horizontal="center" vertical="center" wrapText="1"/>
    </xf>
    <xf numFmtId="193" fontId="17" fillId="0" borderId="28" xfId="42" applyNumberFormat="1" applyFont="1" applyFill="1" applyBorder="1" applyAlignment="1">
      <alignment horizontal="right" vertical="center" wrapText="1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93" fontId="12" fillId="0" borderId="24" xfId="42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193" fontId="12" fillId="0" borderId="17" xfId="42" applyNumberFormat="1" applyFont="1" applyFill="1" applyBorder="1" applyAlignment="1">
      <alignment horizontal="right" vertical="center" wrapText="1"/>
    </xf>
    <xf numFmtId="0" fontId="17" fillId="0" borderId="28" xfId="0" applyFont="1" applyFill="1" applyBorder="1" applyAlignment="1" quotePrefix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193" fontId="7" fillId="0" borderId="14" xfId="42" applyNumberFormat="1" applyFont="1" applyFill="1" applyBorder="1" applyAlignment="1">
      <alignment vertical="center" wrapText="1"/>
    </xf>
    <xf numFmtId="193" fontId="7" fillId="0" borderId="14" xfId="42" applyNumberFormat="1" applyFont="1" applyFill="1" applyBorder="1" applyAlignment="1">
      <alignment horizontal="center" vertical="center" wrapText="1"/>
    </xf>
    <xf numFmtId="193" fontId="7" fillId="0" borderId="29" xfId="42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7" fillId="0" borderId="0" xfId="57" applyNumberFormat="1" applyFont="1" applyAlignment="1">
      <alignment horizontal="right"/>
      <protection/>
    </xf>
    <xf numFmtId="49" fontId="25" fillId="0" borderId="0" xfId="0" applyNumberFormat="1" applyFont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0" borderId="0" xfId="57" applyNumberFormat="1" applyFont="1" applyFill="1" applyBorder="1" applyAlignment="1">
      <alignment wrapText="1"/>
      <protection/>
    </xf>
    <xf numFmtId="49" fontId="7" fillId="0" borderId="0" xfId="57" applyNumberFormat="1" applyFont="1" applyFill="1" applyBorder="1" applyAlignment="1">
      <alignment vertical="center"/>
      <protection/>
    </xf>
    <xf numFmtId="49" fontId="12" fillId="0" borderId="0" xfId="57" applyNumberFormat="1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 quotePrefix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20" fillId="0" borderId="24" xfId="58" applyNumberFormat="1" applyFont="1" applyBorder="1">
      <alignment/>
      <protection/>
    </xf>
    <xf numFmtId="49" fontId="12" fillId="0" borderId="0" xfId="0" applyNumberFormat="1" applyFont="1" applyBorder="1" applyAlignment="1">
      <alignment/>
    </xf>
    <xf numFmtId="49" fontId="11" fillId="0" borderId="0" xfId="57" applyNumberFormat="1" applyFont="1" applyAlignment="1">
      <alignment horizontal="right"/>
      <protection/>
    </xf>
    <xf numFmtId="49" fontId="21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2" fontId="12" fillId="0" borderId="18" xfId="42" applyNumberFormat="1" applyFont="1" applyFill="1" applyBorder="1" applyAlignment="1">
      <alignment horizontal="center" vertical="center" wrapText="1"/>
    </xf>
    <xf numFmtId="2" fontId="12" fillId="0" borderId="31" xfId="42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 quotePrefix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193" fontId="7" fillId="0" borderId="33" xfId="42" applyNumberFormat="1" applyFont="1" applyFill="1" applyBorder="1" applyAlignment="1">
      <alignment vertical="center" wrapText="1"/>
    </xf>
    <xf numFmtId="2" fontId="7" fillId="0" borderId="33" xfId="42" applyNumberFormat="1" applyFont="1" applyFill="1" applyBorder="1" applyAlignment="1">
      <alignment horizontal="center" vertical="center" wrapText="1"/>
    </xf>
    <xf numFmtId="2" fontId="7" fillId="0" borderId="34" xfId="42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32" borderId="16" xfId="57" applyFont="1" applyFill="1" applyBorder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/>
      <protection locked="0"/>
    </xf>
    <xf numFmtId="0" fontId="12" fillId="32" borderId="16" xfId="0" applyFont="1" applyFill="1" applyBorder="1" applyAlignment="1" applyProtection="1">
      <alignment horizontal="center" vertical="center"/>
      <protection locked="0"/>
    </xf>
    <xf numFmtId="2" fontId="12" fillId="32" borderId="10" xfId="57" applyNumberFormat="1" applyFont="1" applyFill="1" applyBorder="1" applyAlignment="1" applyProtection="1">
      <alignment horizontal="center" vertical="center"/>
      <protection locked="0"/>
    </xf>
    <xf numFmtId="2" fontId="12" fillId="32" borderId="16" xfId="0" applyNumberFormat="1" applyFont="1" applyFill="1" applyBorder="1" applyAlignment="1" applyProtection="1">
      <alignment horizontal="center" vertical="center"/>
      <protection locked="0"/>
    </xf>
    <xf numFmtId="0" fontId="12" fillId="32" borderId="17" xfId="57" applyFont="1" applyFill="1" applyBorder="1" applyAlignment="1" applyProtection="1">
      <alignment horizontal="center" vertical="distributed"/>
      <protection locked="0"/>
    </xf>
    <xf numFmtId="2" fontId="12" fillId="32" borderId="17" xfId="57" applyNumberFormat="1" applyFont="1" applyFill="1" applyBorder="1" applyAlignment="1" applyProtection="1">
      <alignment horizontal="center" vertical="distributed"/>
      <protection locked="0"/>
    </xf>
    <xf numFmtId="1" fontId="24" fillId="32" borderId="17" xfId="0" applyNumberFormat="1" applyFont="1" applyFill="1" applyBorder="1" applyAlignment="1" applyProtection="1">
      <alignment horizontal="center" vertical="center"/>
      <protection locked="0"/>
    </xf>
    <xf numFmtId="1" fontId="24" fillId="32" borderId="10" xfId="0" applyNumberFormat="1" applyFont="1" applyFill="1" applyBorder="1" applyAlignment="1" applyProtection="1">
      <alignment horizontal="center" vertical="center"/>
      <protection locked="0"/>
    </xf>
    <xf numFmtId="1" fontId="12" fillId="32" borderId="25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 shrinkToFit="1"/>
      <protection locked="0"/>
    </xf>
    <xf numFmtId="0" fontId="47" fillId="0" borderId="15" xfId="0" applyFont="1" applyFill="1" applyBorder="1" applyAlignment="1">
      <alignment horizontal="center" vertical="center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right" vertical="center"/>
    </xf>
    <xf numFmtId="0" fontId="12" fillId="32" borderId="16" xfId="0" applyFont="1" applyFill="1" applyBorder="1" applyAlignment="1" applyProtection="1">
      <alignment horizontal="center" vertical="distributed"/>
      <protection locked="0"/>
    </xf>
    <xf numFmtId="2" fontId="12" fillId="32" borderId="16" xfId="0" applyNumberFormat="1" applyFont="1" applyFill="1" applyBorder="1" applyAlignment="1" applyProtection="1">
      <alignment horizontal="center" vertical="distributed"/>
      <protection locked="0"/>
    </xf>
    <xf numFmtId="0" fontId="12" fillId="32" borderId="17" xfId="57" applyFont="1" applyFill="1" applyBorder="1" applyAlignment="1" applyProtection="1">
      <alignment horizontal="center" vertical="center"/>
      <protection locked="0"/>
    </xf>
    <xf numFmtId="2" fontId="12" fillId="32" borderId="17" xfId="57" applyNumberFormat="1" applyFont="1" applyFill="1" applyBorder="1" applyAlignment="1" applyProtection="1">
      <alignment horizontal="center" vertical="center"/>
      <protection locked="0"/>
    </xf>
    <xf numFmtId="2" fontId="12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32" borderId="10" xfId="0" applyFont="1" applyFill="1" applyBorder="1" applyAlignment="1" applyProtection="1">
      <alignment horizontal="center" vertical="center" wrapText="1"/>
      <protection locked="0"/>
    </xf>
    <xf numFmtId="2" fontId="12" fillId="32" borderId="10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57" applyFont="1" applyFill="1" applyBorder="1" applyAlignment="1" applyProtection="1">
      <alignment horizontal="center" vertical="center"/>
      <protection locked="0"/>
    </xf>
    <xf numFmtId="2" fontId="12" fillId="32" borderId="17" xfId="0" applyNumberFormat="1" applyFont="1" applyFill="1" applyBorder="1" applyAlignment="1" applyProtection="1">
      <alignment horizontal="center"/>
      <protection locked="0"/>
    </xf>
    <xf numFmtId="0" fontId="12" fillId="32" borderId="25" xfId="0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distributed"/>
      <protection locked="0"/>
    </xf>
    <xf numFmtId="2" fontId="12" fillId="32" borderId="10" xfId="0" applyNumberFormat="1" applyFont="1" applyFill="1" applyBorder="1" applyAlignment="1" applyProtection="1">
      <alignment horizontal="center" vertical="distributed"/>
      <protection locked="0"/>
    </xf>
    <xf numFmtId="49" fontId="12" fillId="32" borderId="16" xfId="57" applyNumberFormat="1" applyFont="1" applyFill="1" applyBorder="1" applyAlignment="1" applyProtection="1">
      <alignment horizontal="center" vertical="distributed"/>
      <protection locked="0"/>
    </xf>
    <xf numFmtId="49" fontId="12" fillId="32" borderId="10" xfId="0" applyNumberFormat="1" applyFont="1" applyFill="1" applyBorder="1" applyAlignment="1" applyProtection="1">
      <alignment horizontal="center" vertical="distributed"/>
      <protection locked="0"/>
    </xf>
    <xf numFmtId="49" fontId="12" fillId="32" borderId="16" xfId="0" applyNumberFormat="1" applyFont="1" applyFill="1" applyBorder="1" applyAlignment="1" applyProtection="1">
      <alignment horizontal="center" vertical="distributed"/>
      <protection locked="0"/>
    </xf>
    <xf numFmtId="2" fontId="12" fillId="32" borderId="10" xfId="57" applyNumberFormat="1" applyFont="1" applyFill="1" applyBorder="1" applyAlignment="1" applyProtection="1">
      <alignment horizontal="center" vertical="distributed"/>
      <protection locked="0"/>
    </xf>
    <xf numFmtId="49" fontId="12" fillId="32" borderId="17" xfId="57" applyNumberFormat="1" applyFont="1" applyFill="1" applyBorder="1" applyAlignment="1" applyProtection="1">
      <alignment horizontal="center" vertical="center"/>
      <protection locked="0"/>
    </xf>
    <xf numFmtId="49" fontId="12" fillId="32" borderId="25" xfId="0" applyNumberFormat="1" applyFont="1" applyFill="1" applyBorder="1" applyAlignment="1" applyProtection="1">
      <alignment horizontal="center" vertical="center"/>
      <protection locked="0"/>
    </xf>
    <xf numFmtId="49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32" borderId="17" xfId="0" applyNumberFormat="1" applyFont="1" applyFill="1" applyBorder="1" applyAlignment="1" applyProtection="1">
      <alignment horizontal="center" vertical="center"/>
      <protection locked="0"/>
    </xf>
    <xf numFmtId="49" fontId="12" fillId="32" borderId="16" xfId="57" applyNumberFormat="1" applyFont="1" applyFill="1" applyBorder="1" applyAlignment="1" applyProtection="1">
      <alignment horizontal="center" vertical="center"/>
      <protection locked="0"/>
    </xf>
    <xf numFmtId="49" fontId="12" fillId="32" borderId="10" xfId="57" applyNumberFormat="1" applyFont="1" applyFill="1" applyBorder="1" applyAlignment="1" applyProtection="1">
      <alignment horizontal="center" vertical="center"/>
      <protection locked="0"/>
    </xf>
    <xf numFmtId="49" fontId="12" fillId="32" borderId="10" xfId="0" applyNumberFormat="1" applyFont="1" applyFill="1" applyBorder="1" applyAlignment="1" applyProtection="1">
      <alignment horizontal="center" vertical="center"/>
      <protection locked="0"/>
    </xf>
    <xf numFmtId="49" fontId="12" fillId="32" borderId="10" xfId="0" applyNumberFormat="1" applyFont="1" applyFill="1" applyBorder="1" applyAlignment="1" applyProtection="1">
      <alignment vertical="distributed"/>
      <protection locked="0"/>
    </xf>
    <xf numFmtId="0" fontId="0" fillId="0" borderId="0" xfId="0" applyFont="1" applyAlignment="1">
      <alignment vertical="distributed"/>
    </xf>
    <xf numFmtId="0" fontId="2" fillId="0" borderId="0" xfId="0" applyFont="1" applyBorder="1" applyAlignment="1" quotePrefix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Fill="1" applyBorder="1" applyAlignment="1" applyProtection="1">
      <alignment horizontal="center" vertical="center"/>
      <protection locked="0"/>
    </xf>
    <xf numFmtId="2" fontId="12" fillId="0" borderId="16" xfId="0" applyNumberFormat="1" applyFont="1" applyFill="1" applyBorder="1" applyAlignment="1" applyProtection="1">
      <alignment horizontal="center" vertical="center"/>
      <protection/>
    </xf>
    <xf numFmtId="49" fontId="12" fillId="32" borderId="16" xfId="0" applyNumberFormat="1" applyFont="1" applyFill="1" applyBorder="1" applyAlignment="1" applyProtection="1">
      <alignment horizontal="center" vertical="center"/>
      <protection locked="0"/>
    </xf>
    <xf numFmtId="49" fontId="12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2" fontId="0" fillId="32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>
      <alignment horizontal="right" vertical="center"/>
    </xf>
    <xf numFmtId="2" fontId="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distributed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49" fontId="12" fillId="32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>
      <alignment horizontal="center" vertical="center"/>
    </xf>
    <xf numFmtId="49" fontId="37" fillId="0" borderId="21" xfId="0" applyNumberFormat="1" applyFont="1" applyFill="1" applyBorder="1" applyAlignment="1">
      <alignment horizontal="center" vertical="center"/>
    </xf>
    <xf numFmtId="0" fontId="12" fillId="32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right" vertical="distributed"/>
    </xf>
    <xf numFmtId="0" fontId="38" fillId="0" borderId="0" xfId="0" applyFont="1" applyAlignment="1">
      <alignment horizontal="right" vertical="top" wrapText="1"/>
    </xf>
    <xf numFmtId="0" fontId="7" fillId="0" borderId="0" xfId="0" applyFont="1" applyFill="1" applyAlignment="1">
      <alignment vertical="distributed"/>
    </xf>
    <xf numFmtId="0" fontId="2" fillId="0" borderId="0" xfId="0" applyFont="1" applyAlignment="1">
      <alignment horizontal="left" vertical="distributed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37" fillId="0" borderId="15" xfId="0" applyFont="1" applyFill="1" applyBorder="1" applyAlignment="1">
      <alignment horizontal="center" vertical="distributed"/>
    </xf>
    <xf numFmtId="0" fontId="50" fillId="0" borderId="0" xfId="0" applyFont="1" applyFill="1" applyBorder="1" applyAlignment="1">
      <alignment horizontal="center" vertical="distributed"/>
    </xf>
    <xf numFmtId="2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left" vertical="distributed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vertical="center"/>
    </xf>
    <xf numFmtId="0" fontId="41" fillId="0" borderId="0" xfId="0" applyFont="1" applyAlignment="1">
      <alignment horizontal="right" vertical="distributed"/>
    </xf>
    <xf numFmtId="0" fontId="41" fillId="0" borderId="0" xfId="0" applyFont="1" applyAlignment="1">
      <alignment horizontal="center" vertical="distributed"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37" fillId="32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 vertical="center" wrapText="1"/>
    </xf>
    <xf numFmtId="49" fontId="40" fillId="0" borderId="0" xfId="57" applyNumberFormat="1" applyFont="1" applyAlignment="1">
      <alignment horizontal="right"/>
      <protection/>
    </xf>
    <xf numFmtId="0" fontId="0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distributed"/>
    </xf>
    <xf numFmtId="0" fontId="6" fillId="0" borderId="0" xfId="0" applyFont="1" applyFill="1" applyAlignment="1">
      <alignment horizontal="center" vertical="center"/>
    </xf>
    <xf numFmtId="0" fontId="7" fillId="32" borderId="0" xfId="0" applyFont="1" applyFill="1" applyAlignment="1" applyProtection="1">
      <alignment horizontal="center" vertical="distributed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distributed"/>
    </xf>
    <xf numFmtId="0" fontId="40" fillId="0" borderId="0" xfId="0" applyFont="1" applyFill="1" applyAlignment="1">
      <alignment horizontal="right" vertical="top"/>
    </xf>
    <xf numFmtId="0" fontId="40" fillId="0" borderId="0" xfId="0" applyFont="1" applyAlignment="1">
      <alignment horizontal="right"/>
    </xf>
    <xf numFmtId="0" fontId="39" fillId="0" borderId="0" xfId="57" applyFont="1" applyAlignment="1">
      <alignment horizontal="center"/>
      <protection/>
    </xf>
    <xf numFmtId="0" fontId="7" fillId="32" borderId="0" xfId="0" applyFont="1" applyFill="1" applyAlignment="1" applyProtection="1">
      <alignment horizontal="left" vertical="distributed"/>
      <protection locked="0"/>
    </xf>
    <xf numFmtId="0" fontId="11" fillId="0" borderId="0" xfId="57" applyFont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distributed"/>
    </xf>
    <xf numFmtId="0" fontId="47" fillId="0" borderId="0" xfId="0" applyFont="1" applyAlignment="1">
      <alignment horizontal="left" vertical="distributed" wrapText="1"/>
    </xf>
    <xf numFmtId="0" fontId="7" fillId="0" borderId="21" xfId="0" applyFont="1" applyFill="1" applyBorder="1" applyAlignment="1">
      <alignment horizontal="center" vertical="distributed"/>
    </xf>
    <xf numFmtId="0" fontId="7" fillId="0" borderId="37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horizontal="left" vertical="distributed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0" xfId="57" applyFont="1" applyAlignment="1">
      <alignment horizontal="right"/>
      <protection/>
    </xf>
    <xf numFmtId="0" fontId="7" fillId="0" borderId="0" xfId="0" applyFont="1" applyBorder="1" applyAlignment="1">
      <alignment horizontal="left" vertical="center"/>
    </xf>
    <xf numFmtId="0" fontId="7" fillId="0" borderId="0" xfId="57" applyFont="1" applyBorder="1" applyAlignment="1">
      <alignment wrapText="1"/>
      <protection/>
    </xf>
    <xf numFmtId="0" fontId="0" fillId="0" borderId="21" xfId="0" applyFont="1" applyFill="1" applyBorder="1" applyAlignment="1">
      <alignment horizontal="center" vertical="distributed"/>
    </xf>
    <xf numFmtId="0" fontId="0" fillId="0" borderId="37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distributed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192" fontId="7" fillId="0" borderId="15" xfId="0" applyNumberFormat="1" applyFont="1" applyBorder="1" applyAlignment="1">
      <alignment horizontal="right" vertical="center"/>
    </xf>
    <xf numFmtId="4" fontId="7" fillId="0" borderId="30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29.01\&#1044;&#1086;&#1082;&#1091;&#1084;&#1077;&#1085;&#1090;&#1072;&#1094;&#1080;&#1103;%20&#1080;%20&#1087;&#1088;&#1080;&#1083;&#1086;&#1078;&#1077;&#1085;&#1080;&#1103;\&#1055;&#1088;&#1080;&#1083;&#1086;&#1078;&#1077;&#1085;&#1080;&#1077;%2021%20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.цени"/>
      <sheetName val="ОСС поз. 1.2 от ЦП"/>
      <sheetName val="49-Клон 17-I (Вода)"/>
      <sheetName val="50-Клон 19-I (Вода)"/>
      <sheetName val="51-Клон 20-I (Вода)"/>
      <sheetName val="52-Гл.клон II(Вода)"/>
      <sheetName val="53-Гл.клон III (Вода)"/>
      <sheetName val="54-Клон 3-III (Вода)"/>
      <sheetName val="55-Клон 4-III (Вода)"/>
      <sheetName val="56-Гл.клон IV (Вода)"/>
      <sheetName val="57-Клон 43-IV (Вода)"/>
      <sheetName val="58-Клон 45-IV (Вода)"/>
      <sheetName val="59-Клон 5-V (Вода)"/>
      <sheetName val="60-Клон 6-V (Вода)"/>
      <sheetName val="61-Клон 9-V (Вода)"/>
      <sheetName val="62-Гл.клон IX (Вода)"/>
      <sheetName val="63-Клон 7 (Вода)"/>
      <sheetName val="64-Клон 8 (Вода)"/>
      <sheetName val="65-Клон 10 (Вода)"/>
      <sheetName val="66-Клон 28 (Вода)"/>
      <sheetName val="67-Вода ОС_ул. &quot;Уилям Гладстон&quot;"/>
      <sheetName val="68-Вода ОС_ул. &quot;Неофит Рилски&quot;"/>
      <sheetName val="69-Вода ОС_ул. &quot;Отец Паисий&quot;"/>
      <sheetName val="70-Вода ОС_ул. &quot;Д-р И. Филипов&quot;"/>
      <sheetName val="Помощна смет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22"/>
  <sheetViews>
    <sheetView zoomScale="55" zoomScaleNormal="55" zoomScaleSheetLayoutView="57" zoomScalePageLayoutView="75" workbookViewId="0" topLeftCell="A1">
      <pane ySplit="11" topLeftCell="A23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7.7109375" style="29" customWidth="1"/>
    <col min="2" max="2" width="20.28125" style="29" customWidth="1"/>
    <col min="3" max="3" width="73.7109375" style="29" customWidth="1"/>
    <col min="4" max="4" width="7.28125" style="34" customWidth="1"/>
    <col min="5" max="5" width="16.28125" style="29" customWidth="1"/>
    <col min="6" max="16384" width="9.140625" style="29" customWidth="1"/>
  </cols>
  <sheetData>
    <row r="1" spans="1:7" s="141" customFormat="1" ht="15">
      <c r="A1" s="477" t="s">
        <v>560</v>
      </c>
      <c r="B1" s="477"/>
      <c r="C1" s="474" t="s">
        <v>380</v>
      </c>
      <c r="D1" s="474"/>
      <c r="E1" s="474"/>
      <c r="F1" s="435"/>
      <c r="G1" s="435"/>
    </row>
    <row r="2" spans="1:3" s="141" customFormat="1" ht="15">
      <c r="A2" s="477" t="s">
        <v>561</v>
      </c>
      <c r="B2" s="477"/>
      <c r="C2" s="203" t="s">
        <v>564</v>
      </c>
    </row>
    <row r="3" spans="1:7" s="445" customFormat="1" ht="30.75" customHeight="1">
      <c r="A3" s="476" t="s">
        <v>558</v>
      </c>
      <c r="B3" s="476"/>
      <c r="C3" s="473"/>
      <c r="D3" s="473"/>
      <c r="E3" s="473"/>
      <c r="F3" s="454"/>
      <c r="G3" s="443"/>
    </row>
    <row r="4" spans="1:7" s="141" customFormat="1" ht="18" customHeight="1">
      <c r="A4" s="471" t="s">
        <v>559</v>
      </c>
      <c r="B4" s="471"/>
      <c r="C4" s="475"/>
      <c r="D4" s="475"/>
      <c r="E4" s="475"/>
      <c r="F4" s="444"/>
      <c r="G4" s="435"/>
    </row>
    <row r="5" s="68" customFormat="1" ht="15">
      <c r="A5" s="32"/>
    </row>
    <row r="6" spans="1:6" s="213" customFormat="1" ht="20.25">
      <c r="A6" s="478" t="s">
        <v>579</v>
      </c>
      <c r="B6" s="478"/>
      <c r="C6" s="478"/>
      <c r="D6" s="478"/>
      <c r="E6" s="478"/>
      <c r="F6" s="163"/>
    </row>
    <row r="7" spans="1:6" s="282" customFormat="1" ht="5.25">
      <c r="A7" s="281"/>
      <c r="B7" s="281"/>
      <c r="C7" s="281"/>
      <c r="D7" s="281"/>
      <c r="E7" s="281"/>
      <c r="F7" s="281"/>
    </row>
    <row r="8" spans="1:5" s="68" customFormat="1" ht="15.75">
      <c r="A8" s="472" t="s">
        <v>524</v>
      </c>
      <c r="B8" s="472"/>
      <c r="C8" s="472"/>
      <c r="D8" s="472"/>
      <c r="E8" s="472"/>
    </row>
    <row r="9" ht="15" thickBot="1"/>
    <row r="10" spans="1:5" ht="45.75" thickBot="1">
      <c r="A10" s="424" t="s">
        <v>372</v>
      </c>
      <c r="B10" s="424" t="s">
        <v>580</v>
      </c>
      <c r="C10" s="424" t="s">
        <v>369</v>
      </c>
      <c r="D10" s="424" t="s">
        <v>189</v>
      </c>
      <c r="E10" s="424" t="s">
        <v>203</v>
      </c>
    </row>
    <row r="11" spans="1:5" ht="15" thickBot="1">
      <c r="A11" s="449">
        <v>1</v>
      </c>
      <c r="B11" s="449">
        <v>2</v>
      </c>
      <c r="C11" s="449">
        <v>3</v>
      </c>
      <c r="D11" s="449">
        <v>4</v>
      </c>
      <c r="E11" s="449">
        <v>5</v>
      </c>
    </row>
    <row r="12" spans="1:5" s="179" customFormat="1" ht="5.25">
      <c r="A12" s="450"/>
      <c r="B12" s="450"/>
      <c r="C12" s="450"/>
      <c r="D12" s="450"/>
      <c r="E12" s="450"/>
    </row>
    <row r="13" spans="1:5" ht="14.25">
      <c r="A13" s="48">
        <v>1</v>
      </c>
      <c r="B13" s="357"/>
      <c r="C13" s="53" t="s">
        <v>258</v>
      </c>
      <c r="D13" s="48" t="s">
        <v>190</v>
      </c>
      <c r="E13" s="377"/>
    </row>
    <row r="14" spans="1:5" ht="14.25">
      <c r="A14" s="48">
        <v>2</v>
      </c>
      <c r="B14" s="357"/>
      <c r="C14" s="53" t="s">
        <v>255</v>
      </c>
      <c r="D14" s="48" t="s">
        <v>190</v>
      </c>
      <c r="E14" s="377"/>
    </row>
    <row r="15" spans="1:5" ht="14.25">
      <c r="A15" s="48">
        <v>3</v>
      </c>
      <c r="B15" s="357"/>
      <c r="C15" s="53" t="s">
        <v>289</v>
      </c>
      <c r="D15" s="48" t="s">
        <v>190</v>
      </c>
      <c r="E15" s="377"/>
    </row>
    <row r="16" spans="1:5" ht="28.5">
      <c r="A16" s="48">
        <v>4</v>
      </c>
      <c r="B16" s="357"/>
      <c r="C16" s="53" t="s">
        <v>260</v>
      </c>
      <c r="D16" s="48" t="s">
        <v>386</v>
      </c>
      <c r="E16" s="377"/>
    </row>
    <row r="17" spans="1:5" ht="28.5">
      <c r="A17" s="48">
        <v>5</v>
      </c>
      <c r="B17" s="357"/>
      <c r="C17" s="53" t="s">
        <v>256</v>
      </c>
      <c r="D17" s="48" t="s">
        <v>386</v>
      </c>
      <c r="E17" s="377"/>
    </row>
    <row r="18" spans="1:5" ht="28.5">
      <c r="A18" s="48">
        <v>6</v>
      </c>
      <c r="B18" s="357"/>
      <c r="C18" s="53" t="s">
        <v>290</v>
      </c>
      <c r="D18" s="48" t="s">
        <v>386</v>
      </c>
      <c r="E18" s="377"/>
    </row>
    <row r="19" spans="1:5" ht="14.25">
      <c r="A19" s="48">
        <v>7</v>
      </c>
      <c r="B19" s="357"/>
      <c r="C19" s="53" t="s">
        <v>261</v>
      </c>
      <c r="D19" s="48" t="s">
        <v>190</v>
      </c>
      <c r="E19" s="377"/>
    </row>
    <row r="20" spans="1:5" ht="16.5">
      <c r="A20" s="48">
        <v>8</v>
      </c>
      <c r="B20" s="357"/>
      <c r="C20" s="53" t="s">
        <v>262</v>
      </c>
      <c r="D20" s="48" t="s">
        <v>386</v>
      </c>
      <c r="E20" s="377"/>
    </row>
    <row r="21" spans="1:5" ht="28.5">
      <c r="A21" s="48">
        <v>9</v>
      </c>
      <c r="B21" s="357"/>
      <c r="C21" s="77" t="s">
        <v>268</v>
      </c>
      <c r="D21" s="50" t="s">
        <v>385</v>
      </c>
      <c r="E21" s="377"/>
    </row>
    <row r="22" spans="1:5" ht="28.5">
      <c r="A22" s="48"/>
      <c r="B22" s="357"/>
      <c r="C22" s="77" t="s">
        <v>202</v>
      </c>
      <c r="D22" s="50"/>
      <c r="E22" s="377"/>
    </row>
    <row r="23" spans="1:5" ht="16.5">
      <c r="A23" s="48">
        <v>10</v>
      </c>
      <c r="B23" s="357"/>
      <c r="C23" s="49" t="s">
        <v>264</v>
      </c>
      <c r="D23" s="50" t="s">
        <v>385</v>
      </c>
      <c r="E23" s="377"/>
    </row>
    <row r="24" spans="1:5" ht="15" customHeight="1">
      <c r="A24" s="48">
        <v>11</v>
      </c>
      <c r="B24" s="357"/>
      <c r="C24" s="53" t="s">
        <v>263</v>
      </c>
      <c r="D24" s="50" t="s">
        <v>385</v>
      </c>
      <c r="E24" s="377"/>
    </row>
    <row r="25" spans="1:5" ht="15" customHeight="1">
      <c r="A25" s="48">
        <v>12</v>
      </c>
      <c r="B25" s="357"/>
      <c r="C25" s="49" t="s">
        <v>265</v>
      </c>
      <c r="D25" s="50" t="s">
        <v>385</v>
      </c>
      <c r="E25" s="377"/>
    </row>
    <row r="26" spans="1:5" ht="15" customHeight="1">
      <c r="A26" s="48"/>
      <c r="B26" s="357"/>
      <c r="C26" s="49" t="s">
        <v>244</v>
      </c>
      <c r="D26" s="50"/>
      <c r="E26" s="377"/>
    </row>
    <row r="27" spans="1:5" ht="16.5">
      <c r="A27" s="48">
        <v>13</v>
      </c>
      <c r="B27" s="357"/>
      <c r="C27" s="49" t="s">
        <v>199</v>
      </c>
      <c r="D27" s="50" t="s">
        <v>385</v>
      </c>
      <c r="E27" s="377"/>
    </row>
    <row r="28" spans="1:5" ht="15" customHeight="1">
      <c r="A28" s="48">
        <v>14</v>
      </c>
      <c r="B28" s="357"/>
      <c r="C28" s="53" t="s">
        <v>266</v>
      </c>
      <c r="D28" s="50" t="s">
        <v>385</v>
      </c>
      <c r="E28" s="377"/>
    </row>
    <row r="29" spans="1:5" ht="15" customHeight="1">
      <c r="A29" s="48">
        <v>15</v>
      </c>
      <c r="B29" s="357"/>
      <c r="C29" s="49" t="s">
        <v>267</v>
      </c>
      <c r="D29" s="50" t="s">
        <v>385</v>
      </c>
      <c r="E29" s="377"/>
    </row>
    <row r="30" spans="1:5" ht="28.5">
      <c r="A30" s="48">
        <v>16</v>
      </c>
      <c r="B30" s="357"/>
      <c r="C30" s="80" t="s">
        <v>196</v>
      </c>
      <c r="D30" s="50" t="s">
        <v>385</v>
      </c>
      <c r="E30" s="377"/>
    </row>
    <row r="31" spans="1:5" ht="16.5" customHeight="1">
      <c r="A31" s="48">
        <v>17</v>
      </c>
      <c r="B31" s="357"/>
      <c r="C31" s="55" t="s">
        <v>197</v>
      </c>
      <c r="D31" s="50" t="s">
        <v>385</v>
      </c>
      <c r="E31" s="377"/>
    </row>
    <row r="32" spans="1:5" ht="15" customHeight="1">
      <c r="A32" s="48">
        <v>18</v>
      </c>
      <c r="B32" s="357"/>
      <c r="C32" s="53" t="s">
        <v>259</v>
      </c>
      <c r="D32" s="50" t="s">
        <v>215</v>
      </c>
      <c r="E32" s="377"/>
    </row>
    <row r="33" spans="1:5" ht="14.25">
      <c r="A33" s="48">
        <v>19</v>
      </c>
      <c r="B33" s="357"/>
      <c r="C33" s="55" t="s">
        <v>245</v>
      </c>
      <c r="D33" s="50" t="s">
        <v>215</v>
      </c>
      <c r="E33" s="377"/>
    </row>
    <row r="34" spans="1:5" ht="28.5">
      <c r="A34" s="48">
        <v>20</v>
      </c>
      <c r="B34" s="357"/>
      <c r="C34" s="80" t="s">
        <v>269</v>
      </c>
      <c r="D34" s="50" t="s">
        <v>385</v>
      </c>
      <c r="E34" s="377"/>
    </row>
    <row r="35" spans="1:5" ht="16.5">
      <c r="A35" s="48">
        <v>21</v>
      </c>
      <c r="B35" s="357"/>
      <c r="C35" s="49" t="s">
        <v>387</v>
      </c>
      <c r="D35" s="48" t="s">
        <v>386</v>
      </c>
      <c r="E35" s="377"/>
    </row>
    <row r="36" spans="1:5" ht="28.5">
      <c r="A36" s="48">
        <v>22</v>
      </c>
      <c r="B36" s="357"/>
      <c r="C36" s="80" t="s">
        <v>270</v>
      </c>
      <c r="D36" s="50" t="s">
        <v>385</v>
      </c>
      <c r="E36" s="377"/>
    </row>
    <row r="37" spans="1:5" ht="45" customHeight="1">
      <c r="A37" s="48">
        <v>23</v>
      </c>
      <c r="B37" s="357"/>
      <c r="C37" s="53" t="s">
        <v>296</v>
      </c>
      <c r="D37" s="50" t="s">
        <v>385</v>
      </c>
      <c r="E37" s="377"/>
    </row>
    <row r="38" spans="1:5" s="30" customFormat="1" ht="45" customHeight="1">
      <c r="A38" s="48">
        <v>24</v>
      </c>
      <c r="B38" s="357"/>
      <c r="C38" s="53" t="s">
        <v>274</v>
      </c>
      <c r="D38" s="50" t="s">
        <v>385</v>
      </c>
      <c r="E38" s="377"/>
    </row>
    <row r="39" spans="1:5" ht="15" customHeight="1">
      <c r="A39" s="48">
        <v>25</v>
      </c>
      <c r="B39" s="357"/>
      <c r="C39" s="53" t="s">
        <v>272</v>
      </c>
      <c r="D39" s="48" t="s">
        <v>190</v>
      </c>
      <c r="E39" s="377"/>
    </row>
    <row r="40" spans="1:5" ht="15" customHeight="1">
      <c r="A40" s="48">
        <v>26</v>
      </c>
      <c r="B40" s="357"/>
      <c r="C40" s="53" t="s">
        <v>273</v>
      </c>
      <c r="D40" s="48" t="s">
        <v>190</v>
      </c>
      <c r="E40" s="377"/>
    </row>
    <row r="41" spans="1:5" ht="30" customHeight="1">
      <c r="A41" s="48">
        <v>27</v>
      </c>
      <c r="B41" s="357"/>
      <c r="C41" s="53" t="s">
        <v>313</v>
      </c>
      <c r="D41" s="48" t="s">
        <v>191</v>
      </c>
      <c r="E41" s="377"/>
    </row>
    <row r="42" spans="1:5" ht="14.25">
      <c r="A42" s="48">
        <v>28</v>
      </c>
      <c r="B42" s="357"/>
      <c r="C42" s="53" t="s">
        <v>200</v>
      </c>
      <c r="D42" s="48" t="s">
        <v>191</v>
      </c>
      <c r="E42" s="377"/>
    </row>
    <row r="43" spans="1:5" ht="30" customHeight="1">
      <c r="A43" s="48">
        <v>29</v>
      </c>
      <c r="B43" s="357"/>
      <c r="C43" s="53" t="s">
        <v>233</v>
      </c>
      <c r="D43" s="48" t="s">
        <v>191</v>
      </c>
      <c r="E43" s="377"/>
    </row>
    <row r="44" spans="1:5" ht="14.25">
      <c r="A44" s="48">
        <v>30</v>
      </c>
      <c r="B44" s="357"/>
      <c r="C44" s="49" t="s">
        <v>192</v>
      </c>
      <c r="D44" s="48" t="s">
        <v>193</v>
      </c>
      <c r="E44" s="377"/>
    </row>
    <row r="45" spans="1:5" s="30" customFormat="1" ht="15" customHeight="1">
      <c r="A45" s="48">
        <v>31</v>
      </c>
      <c r="B45" s="357"/>
      <c r="C45" s="95" t="s">
        <v>282</v>
      </c>
      <c r="D45" s="48" t="s">
        <v>190</v>
      </c>
      <c r="E45" s="377"/>
    </row>
    <row r="46" spans="1:5" ht="16.5">
      <c r="A46" s="48">
        <v>32</v>
      </c>
      <c r="B46" s="357"/>
      <c r="C46" s="95" t="s">
        <v>283</v>
      </c>
      <c r="D46" s="48" t="s">
        <v>386</v>
      </c>
      <c r="E46" s="377"/>
    </row>
    <row r="47" spans="1:5" ht="28.5">
      <c r="A47" s="48">
        <v>33</v>
      </c>
      <c r="B47" s="357"/>
      <c r="C47" s="77" t="s">
        <v>293</v>
      </c>
      <c r="D47" s="48" t="s">
        <v>195</v>
      </c>
      <c r="E47" s="377"/>
    </row>
    <row r="48" spans="1:5" ht="28.5">
      <c r="A48" s="48">
        <v>34</v>
      </c>
      <c r="B48" s="357"/>
      <c r="C48" s="77" t="s">
        <v>20</v>
      </c>
      <c r="D48" s="48" t="s">
        <v>195</v>
      </c>
      <c r="E48" s="377"/>
    </row>
    <row r="49" spans="1:5" s="2" customFormat="1" ht="28.5">
      <c r="A49" s="48">
        <v>35</v>
      </c>
      <c r="B49" s="357"/>
      <c r="C49" s="53" t="s">
        <v>21</v>
      </c>
      <c r="D49" s="83" t="s">
        <v>385</v>
      </c>
      <c r="E49" s="377"/>
    </row>
    <row r="50" spans="1:5" s="30" customFormat="1" ht="14.25">
      <c r="A50" s="48">
        <v>36</v>
      </c>
      <c r="B50" s="357"/>
      <c r="C50" s="77" t="s">
        <v>194</v>
      </c>
      <c r="D50" s="74" t="s">
        <v>190</v>
      </c>
      <c r="E50" s="377"/>
    </row>
    <row r="51" spans="1:5" ht="14.25">
      <c r="A51" s="48">
        <v>37</v>
      </c>
      <c r="B51" s="357"/>
      <c r="C51" s="55" t="s">
        <v>201</v>
      </c>
      <c r="D51" s="50" t="s">
        <v>190</v>
      </c>
      <c r="E51" s="377"/>
    </row>
    <row r="52" spans="1:5" s="2" customFormat="1" ht="12.75" customHeight="1">
      <c r="A52" s="48">
        <v>38</v>
      </c>
      <c r="B52" s="357"/>
      <c r="C52" s="55" t="s">
        <v>275</v>
      </c>
      <c r="D52" s="50" t="s">
        <v>218</v>
      </c>
      <c r="E52" s="377"/>
    </row>
    <row r="53" spans="1:5" s="2" customFormat="1" ht="12.75" customHeight="1">
      <c r="A53" s="48">
        <v>39</v>
      </c>
      <c r="B53" s="357"/>
      <c r="C53" s="55" t="s">
        <v>220</v>
      </c>
      <c r="D53" s="50" t="s">
        <v>191</v>
      </c>
      <c r="E53" s="377"/>
    </row>
    <row r="54" spans="1:5" ht="14.25">
      <c r="A54" s="48">
        <v>40</v>
      </c>
      <c r="B54" s="357"/>
      <c r="C54" s="55" t="s">
        <v>237</v>
      </c>
      <c r="D54" s="50" t="s">
        <v>191</v>
      </c>
      <c r="E54" s="377"/>
    </row>
    <row r="55" spans="1:5" ht="14.25">
      <c r="A55" s="48">
        <v>41</v>
      </c>
      <c r="B55" s="357"/>
      <c r="C55" s="55" t="s">
        <v>276</v>
      </c>
      <c r="D55" s="50" t="s">
        <v>191</v>
      </c>
      <c r="E55" s="377"/>
    </row>
    <row r="56" spans="1:5" ht="14.25">
      <c r="A56" s="48">
        <v>42</v>
      </c>
      <c r="B56" s="357"/>
      <c r="C56" s="55" t="s">
        <v>278</v>
      </c>
      <c r="D56" s="50" t="s">
        <v>191</v>
      </c>
      <c r="E56" s="377"/>
    </row>
    <row r="57" spans="1:5" ht="14.25">
      <c r="A57" s="48">
        <v>43</v>
      </c>
      <c r="B57" s="357"/>
      <c r="C57" s="55" t="s">
        <v>240</v>
      </c>
      <c r="D57" s="50" t="s">
        <v>191</v>
      </c>
      <c r="E57" s="377"/>
    </row>
    <row r="58" spans="1:5" ht="29.25" customHeight="1">
      <c r="A58" s="48">
        <v>44</v>
      </c>
      <c r="B58" s="357"/>
      <c r="C58" s="95" t="s">
        <v>221</v>
      </c>
      <c r="D58" s="50" t="s">
        <v>191</v>
      </c>
      <c r="E58" s="377"/>
    </row>
    <row r="59" spans="1:5" ht="30" customHeight="1">
      <c r="A59" s="48">
        <v>45</v>
      </c>
      <c r="B59" s="357"/>
      <c r="C59" s="95" t="s">
        <v>277</v>
      </c>
      <c r="D59" s="50" t="s">
        <v>191</v>
      </c>
      <c r="E59" s="377"/>
    </row>
    <row r="60" spans="1:5" ht="14.25">
      <c r="A60" s="48">
        <v>46</v>
      </c>
      <c r="B60" s="357"/>
      <c r="C60" s="55" t="s">
        <v>229</v>
      </c>
      <c r="D60" s="50" t="s">
        <v>191</v>
      </c>
      <c r="E60" s="377"/>
    </row>
    <row r="61" spans="1:5" ht="14.25">
      <c r="A61" s="48">
        <v>47</v>
      </c>
      <c r="B61" s="357"/>
      <c r="C61" s="55" t="s">
        <v>257</v>
      </c>
      <c r="D61" s="50" t="s">
        <v>191</v>
      </c>
      <c r="E61" s="377"/>
    </row>
    <row r="62" spans="1:5" ht="14.25">
      <c r="A62" s="48">
        <v>48</v>
      </c>
      <c r="B62" s="357"/>
      <c r="C62" s="55" t="s">
        <v>223</v>
      </c>
      <c r="D62" s="50" t="s">
        <v>191</v>
      </c>
      <c r="E62" s="377"/>
    </row>
    <row r="63" spans="1:5" ht="14.25">
      <c r="A63" s="48">
        <v>49</v>
      </c>
      <c r="B63" s="357"/>
      <c r="C63" s="55" t="s">
        <v>238</v>
      </c>
      <c r="D63" s="50" t="s">
        <v>191</v>
      </c>
      <c r="E63" s="377"/>
    </row>
    <row r="64" spans="1:5" ht="14.25">
      <c r="A64" s="48">
        <v>50</v>
      </c>
      <c r="B64" s="357"/>
      <c r="C64" s="55" t="s">
        <v>581</v>
      </c>
      <c r="D64" s="50" t="s">
        <v>191</v>
      </c>
      <c r="E64" s="377"/>
    </row>
    <row r="65" spans="1:5" ht="14.25">
      <c r="A65" s="48">
        <v>51</v>
      </c>
      <c r="B65" s="357"/>
      <c r="C65" s="55" t="s">
        <v>222</v>
      </c>
      <c r="D65" s="50" t="s">
        <v>191</v>
      </c>
      <c r="E65" s="377"/>
    </row>
    <row r="66" spans="1:5" ht="14.25">
      <c r="A66" s="48">
        <v>52</v>
      </c>
      <c r="B66" s="357"/>
      <c r="C66" s="55" t="s">
        <v>224</v>
      </c>
      <c r="D66" s="50" t="s">
        <v>191</v>
      </c>
      <c r="E66" s="377"/>
    </row>
    <row r="67" spans="1:5" ht="14.25">
      <c r="A67" s="48">
        <v>53</v>
      </c>
      <c r="B67" s="357"/>
      <c r="C67" s="55" t="s">
        <v>225</v>
      </c>
      <c r="D67" s="50" t="s">
        <v>191</v>
      </c>
      <c r="E67" s="377"/>
    </row>
    <row r="68" spans="1:5" ht="14.25">
      <c r="A68" s="48">
        <v>54</v>
      </c>
      <c r="B68" s="357"/>
      <c r="C68" s="55" t="s">
        <v>279</v>
      </c>
      <c r="D68" s="50" t="s">
        <v>191</v>
      </c>
      <c r="E68" s="377"/>
    </row>
    <row r="69" spans="1:5" ht="14.25">
      <c r="A69" s="48">
        <v>55</v>
      </c>
      <c r="B69" s="357"/>
      <c r="C69" s="55" t="s">
        <v>280</v>
      </c>
      <c r="D69" s="50" t="s">
        <v>191</v>
      </c>
      <c r="E69" s="377"/>
    </row>
    <row r="70" spans="1:5" ht="14.25">
      <c r="A70" s="48">
        <v>56</v>
      </c>
      <c r="B70" s="357"/>
      <c r="C70" s="55" t="s">
        <v>22</v>
      </c>
      <c r="D70" s="50" t="s">
        <v>190</v>
      </c>
      <c r="E70" s="377"/>
    </row>
    <row r="71" spans="1:5" ht="14.25">
      <c r="A71" s="48">
        <v>57</v>
      </c>
      <c r="B71" s="357"/>
      <c r="C71" s="55" t="s">
        <v>226</v>
      </c>
      <c r="D71" s="50" t="s">
        <v>190</v>
      </c>
      <c r="E71" s="377"/>
    </row>
    <row r="72" spans="1:5" ht="14.25">
      <c r="A72" s="48">
        <v>58</v>
      </c>
      <c r="B72" s="357"/>
      <c r="C72" s="55" t="s">
        <v>217</v>
      </c>
      <c r="D72" s="50" t="s">
        <v>190</v>
      </c>
      <c r="E72" s="377"/>
    </row>
    <row r="73" spans="1:5" ht="14.25">
      <c r="A73" s="48">
        <v>59</v>
      </c>
      <c r="B73" s="357"/>
      <c r="C73" s="55" t="s">
        <v>219</v>
      </c>
      <c r="D73" s="50" t="s">
        <v>190</v>
      </c>
      <c r="E73" s="377"/>
    </row>
    <row r="74" spans="1:5" ht="14.25">
      <c r="A74" s="48">
        <v>60</v>
      </c>
      <c r="B74" s="357"/>
      <c r="C74" s="55" t="s">
        <v>231</v>
      </c>
      <c r="D74" s="50" t="s">
        <v>191</v>
      </c>
      <c r="E74" s="377"/>
    </row>
    <row r="75" spans="1:5" ht="14.25">
      <c r="A75" s="48">
        <v>61</v>
      </c>
      <c r="B75" s="357"/>
      <c r="C75" s="55" t="s">
        <v>281</v>
      </c>
      <c r="D75" s="50" t="s">
        <v>191</v>
      </c>
      <c r="E75" s="377"/>
    </row>
    <row r="76" spans="1:5" ht="14.25">
      <c r="A76" s="48">
        <v>62</v>
      </c>
      <c r="B76" s="357"/>
      <c r="C76" s="53" t="s">
        <v>291</v>
      </c>
      <c r="D76" s="48" t="s">
        <v>190</v>
      </c>
      <c r="E76" s="377"/>
    </row>
    <row r="77" spans="1:5" ht="14.25">
      <c r="A77" s="48">
        <v>63</v>
      </c>
      <c r="B77" s="357"/>
      <c r="C77" s="53" t="s">
        <v>271</v>
      </c>
      <c r="D77" s="48" t="s">
        <v>190</v>
      </c>
      <c r="E77" s="377"/>
    </row>
    <row r="78" spans="1:5" ht="28.5">
      <c r="A78" s="48">
        <v>64</v>
      </c>
      <c r="B78" s="357"/>
      <c r="C78" s="53" t="s">
        <v>309</v>
      </c>
      <c r="D78" s="48" t="s">
        <v>191</v>
      </c>
      <c r="E78" s="377"/>
    </row>
    <row r="79" spans="1:5" ht="14.25">
      <c r="A79" s="48">
        <v>65</v>
      </c>
      <c r="B79" s="357"/>
      <c r="C79" s="55" t="s">
        <v>292</v>
      </c>
      <c r="D79" s="50" t="s">
        <v>191</v>
      </c>
      <c r="E79" s="377"/>
    </row>
    <row r="80" spans="1:5" ht="14.25">
      <c r="A80" s="48">
        <v>66</v>
      </c>
      <c r="B80" s="357"/>
      <c r="C80" s="55" t="s">
        <v>228</v>
      </c>
      <c r="D80" s="50" t="s">
        <v>218</v>
      </c>
      <c r="E80" s="377"/>
    </row>
    <row r="81" spans="1:5" ht="14.25">
      <c r="A81" s="48">
        <v>67</v>
      </c>
      <c r="B81" s="357"/>
      <c r="C81" s="55" t="s">
        <v>297</v>
      </c>
      <c r="D81" s="50" t="s">
        <v>191</v>
      </c>
      <c r="E81" s="377"/>
    </row>
    <row r="82" spans="1:5" ht="14.25">
      <c r="A82" s="48">
        <v>68</v>
      </c>
      <c r="B82" s="357"/>
      <c r="C82" s="55" t="s">
        <v>243</v>
      </c>
      <c r="D82" s="50" t="s">
        <v>191</v>
      </c>
      <c r="E82" s="377"/>
    </row>
    <row r="83" spans="1:5" ht="14.25">
      <c r="A83" s="48">
        <v>69</v>
      </c>
      <c r="B83" s="357"/>
      <c r="C83" s="55" t="s">
        <v>232</v>
      </c>
      <c r="D83" s="50" t="s">
        <v>191</v>
      </c>
      <c r="E83" s="377"/>
    </row>
    <row r="84" spans="1:5" ht="14.25">
      <c r="A84" s="48">
        <v>70</v>
      </c>
      <c r="B84" s="357"/>
      <c r="C84" s="53" t="s">
        <v>307</v>
      </c>
      <c r="D84" s="48" t="s">
        <v>190</v>
      </c>
      <c r="E84" s="377"/>
    </row>
    <row r="85" spans="1:5" ht="14.25">
      <c r="A85" s="48">
        <v>71</v>
      </c>
      <c r="B85" s="357"/>
      <c r="C85" s="53" t="s">
        <v>308</v>
      </c>
      <c r="D85" s="48" t="s">
        <v>190</v>
      </c>
      <c r="E85" s="377"/>
    </row>
    <row r="86" spans="1:5" ht="15" customHeight="1">
      <c r="A86" s="48">
        <v>72</v>
      </c>
      <c r="B86" s="357"/>
      <c r="C86" s="53" t="s">
        <v>314</v>
      </c>
      <c r="D86" s="48" t="s">
        <v>190</v>
      </c>
      <c r="E86" s="377"/>
    </row>
    <row r="87" spans="1:5" ht="15" customHeight="1">
      <c r="A87" s="48">
        <v>73</v>
      </c>
      <c r="B87" s="357"/>
      <c r="C87" s="53" t="s">
        <v>392</v>
      </c>
      <c r="D87" s="48" t="s">
        <v>190</v>
      </c>
      <c r="E87" s="357"/>
    </row>
    <row r="88" spans="1:5" ht="16.5">
      <c r="A88" s="48">
        <v>74</v>
      </c>
      <c r="B88" s="357"/>
      <c r="C88" s="53" t="s">
        <v>316</v>
      </c>
      <c r="D88" s="48" t="s">
        <v>386</v>
      </c>
      <c r="E88" s="357"/>
    </row>
    <row r="89" spans="1:5" ht="15" customHeight="1">
      <c r="A89" s="48">
        <v>75</v>
      </c>
      <c r="B89" s="357"/>
      <c r="C89" s="80" t="s">
        <v>318</v>
      </c>
      <c r="D89" s="50" t="s">
        <v>385</v>
      </c>
      <c r="E89" s="377"/>
    </row>
    <row r="90" spans="1:5" ht="15" customHeight="1">
      <c r="A90" s="48">
        <v>76</v>
      </c>
      <c r="B90" s="357"/>
      <c r="C90" s="80" t="s">
        <v>317</v>
      </c>
      <c r="D90" s="50" t="s">
        <v>385</v>
      </c>
      <c r="E90" s="377"/>
    </row>
    <row r="91" spans="1:5" ht="28.5">
      <c r="A91" s="48">
        <v>77</v>
      </c>
      <c r="B91" s="357"/>
      <c r="C91" s="53" t="s">
        <v>310</v>
      </c>
      <c r="D91" s="48" t="s">
        <v>191</v>
      </c>
      <c r="E91" s="377"/>
    </row>
    <row r="92" spans="1:5" ht="16.5" customHeight="1">
      <c r="A92" s="48">
        <v>78</v>
      </c>
      <c r="B92" s="357"/>
      <c r="C92" s="53" t="s">
        <v>311</v>
      </c>
      <c r="D92" s="48" t="s">
        <v>191</v>
      </c>
      <c r="E92" s="377"/>
    </row>
    <row r="93" spans="1:5" ht="15" customHeight="1">
      <c r="A93" s="48">
        <v>79</v>
      </c>
      <c r="B93" s="357"/>
      <c r="C93" s="53" t="s">
        <v>312</v>
      </c>
      <c r="D93" s="48" t="s">
        <v>191</v>
      </c>
      <c r="E93" s="377"/>
    </row>
    <row r="94" spans="1:5" ht="28.5">
      <c r="A94" s="48">
        <v>80</v>
      </c>
      <c r="B94" s="357"/>
      <c r="C94" s="77" t="s">
        <v>294</v>
      </c>
      <c r="D94" s="48" t="s">
        <v>195</v>
      </c>
      <c r="E94" s="377"/>
    </row>
    <row r="95" spans="1:5" ht="28.5">
      <c r="A95" s="48">
        <v>81</v>
      </c>
      <c r="B95" s="357"/>
      <c r="C95" s="53" t="s">
        <v>295</v>
      </c>
      <c r="D95" s="83" t="s">
        <v>195</v>
      </c>
      <c r="E95" s="377"/>
    </row>
    <row r="96" spans="1:5" ht="28.5">
      <c r="A96" s="48">
        <v>82</v>
      </c>
      <c r="B96" s="357"/>
      <c r="C96" s="53" t="s">
        <v>298</v>
      </c>
      <c r="D96" s="83" t="s">
        <v>385</v>
      </c>
      <c r="E96" s="377"/>
    </row>
    <row r="97" spans="1:5" ht="14.25">
      <c r="A97" s="48">
        <v>83</v>
      </c>
      <c r="B97" s="357"/>
      <c r="C97" s="55" t="s">
        <v>319</v>
      </c>
      <c r="D97" s="50" t="s">
        <v>190</v>
      </c>
      <c r="E97" s="377"/>
    </row>
    <row r="98" spans="1:5" ht="45" customHeight="1">
      <c r="A98" s="48">
        <v>84</v>
      </c>
      <c r="B98" s="357"/>
      <c r="C98" s="55" t="s">
        <v>320</v>
      </c>
      <c r="D98" s="50" t="s">
        <v>190</v>
      </c>
      <c r="E98" s="377"/>
    </row>
    <row r="99" spans="1:5" s="30" customFormat="1" ht="45" customHeight="1">
      <c r="A99" s="48">
        <v>85</v>
      </c>
      <c r="B99" s="357"/>
      <c r="C99" s="55" t="s">
        <v>325</v>
      </c>
      <c r="D99" s="50" t="s">
        <v>191</v>
      </c>
      <c r="E99" s="377"/>
    </row>
    <row r="100" spans="1:5" ht="15" customHeight="1">
      <c r="A100" s="48">
        <v>86</v>
      </c>
      <c r="B100" s="357"/>
      <c r="C100" s="55" t="s">
        <v>332</v>
      </c>
      <c r="D100" s="50" t="s">
        <v>191</v>
      </c>
      <c r="E100" s="377"/>
    </row>
    <row r="101" spans="1:5" ht="15" customHeight="1">
      <c r="A101" s="48">
        <v>87</v>
      </c>
      <c r="B101" s="357"/>
      <c r="C101" s="55" t="s">
        <v>329</v>
      </c>
      <c r="D101" s="50" t="s">
        <v>191</v>
      </c>
      <c r="E101" s="377"/>
    </row>
    <row r="102" spans="1:5" ht="30" customHeight="1">
      <c r="A102" s="48">
        <v>88</v>
      </c>
      <c r="B102" s="357"/>
      <c r="C102" s="55" t="s">
        <v>330</v>
      </c>
      <c r="D102" s="50" t="s">
        <v>191</v>
      </c>
      <c r="E102" s="377"/>
    </row>
    <row r="103" spans="1:5" ht="14.25">
      <c r="A103" s="48">
        <v>89</v>
      </c>
      <c r="B103" s="357"/>
      <c r="C103" s="55" t="s">
        <v>334</v>
      </c>
      <c r="D103" s="50" t="s">
        <v>191</v>
      </c>
      <c r="E103" s="377"/>
    </row>
    <row r="104" spans="1:5" ht="30" customHeight="1">
      <c r="A104" s="48">
        <v>90</v>
      </c>
      <c r="B104" s="357"/>
      <c r="C104" s="55" t="s">
        <v>338</v>
      </c>
      <c r="D104" s="50" t="s">
        <v>191</v>
      </c>
      <c r="E104" s="377"/>
    </row>
    <row r="105" spans="1:5" ht="14.25">
      <c r="A105" s="48">
        <v>91</v>
      </c>
      <c r="B105" s="357"/>
      <c r="C105" s="55" t="s">
        <v>230</v>
      </c>
      <c r="D105" s="50" t="s">
        <v>191</v>
      </c>
      <c r="E105" s="377"/>
    </row>
    <row r="106" spans="1:5" s="30" customFormat="1" ht="15" customHeight="1">
      <c r="A106" s="48">
        <v>92</v>
      </c>
      <c r="B106" s="357"/>
      <c r="C106" s="55" t="s">
        <v>335</v>
      </c>
      <c r="D106" s="50" t="s">
        <v>191</v>
      </c>
      <c r="E106" s="377"/>
    </row>
    <row r="107" spans="1:5" ht="14.25">
      <c r="A107" s="48">
        <v>93</v>
      </c>
      <c r="B107" s="357"/>
      <c r="C107" s="55" t="s">
        <v>109</v>
      </c>
      <c r="D107" s="50" t="s">
        <v>191</v>
      </c>
      <c r="E107" s="377"/>
    </row>
    <row r="108" spans="1:5" ht="14.25">
      <c r="A108" s="48">
        <v>94</v>
      </c>
      <c r="B108" s="357"/>
      <c r="C108" s="55" t="s">
        <v>336</v>
      </c>
      <c r="D108" s="50" t="s">
        <v>191</v>
      </c>
      <c r="E108" s="377"/>
    </row>
    <row r="109" spans="1:5" ht="14.25">
      <c r="A109" s="48">
        <v>95</v>
      </c>
      <c r="B109" s="357"/>
      <c r="C109" s="55" t="s">
        <v>254</v>
      </c>
      <c r="D109" s="50" t="s">
        <v>191</v>
      </c>
      <c r="E109" s="377"/>
    </row>
    <row r="110" spans="1:5" s="2" customFormat="1" ht="14.25">
      <c r="A110" s="48">
        <v>96</v>
      </c>
      <c r="B110" s="357"/>
      <c r="C110" s="55" t="s">
        <v>321</v>
      </c>
      <c r="D110" s="50" t="s">
        <v>191</v>
      </c>
      <c r="E110" s="377"/>
    </row>
    <row r="111" spans="1:5" s="30" customFormat="1" ht="14.25">
      <c r="A111" s="48">
        <v>97</v>
      </c>
      <c r="B111" s="357"/>
      <c r="C111" s="55" t="s">
        <v>328</v>
      </c>
      <c r="D111" s="50" t="s">
        <v>191</v>
      </c>
      <c r="E111" s="377"/>
    </row>
    <row r="112" spans="1:5" ht="14.25">
      <c r="A112" s="48">
        <v>98</v>
      </c>
      <c r="B112" s="357"/>
      <c r="C112" s="55" t="s">
        <v>322</v>
      </c>
      <c r="D112" s="50" t="s">
        <v>191</v>
      </c>
      <c r="E112" s="377"/>
    </row>
    <row r="113" spans="1:5" s="2" customFormat="1" ht="12.75" customHeight="1">
      <c r="A113" s="48">
        <v>99</v>
      </c>
      <c r="B113" s="357"/>
      <c r="C113" s="55" t="s">
        <v>241</v>
      </c>
      <c r="D113" s="50" t="s">
        <v>191</v>
      </c>
      <c r="E113" s="377"/>
    </row>
    <row r="114" spans="1:5" s="2" customFormat="1" ht="12.75" customHeight="1">
      <c r="A114" s="48">
        <v>100</v>
      </c>
      <c r="B114" s="357"/>
      <c r="C114" s="55" t="s">
        <v>107</v>
      </c>
      <c r="D114" s="50" t="s">
        <v>191</v>
      </c>
      <c r="E114" s="377"/>
    </row>
    <row r="115" spans="1:5" ht="14.25">
      <c r="A115" s="48">
        <v>101</v>
      </c>
      <c r="B115" s="357"/>
      <c r="C115" s="55" t="s">
        <v>108</v>
      </c>
      <c r="D115" s="50" t="s">
        <v>191</v>
      </c>
      <c r="E115" s="377"/>
    </row>
    <row r="116" spans="1:5" ht="27.75" customHeight="1">
      <c r="A116" s="48">
        <v>102</v>
      </c>
      <c r="B116" s="357"/>
      <c r="C116" s="95" t="s">
        <v>324</v>
      </c>
      <c r="D116" s="50" t="s">
        <v>191</v>
      </c>
      <c r="E116" s="377"/>
    </row>
    <row r="117" spans="1:5" ht="28.5">
      <c r="A117" s="48">
        <v>103</v>
      </c>
      <c r="B117" s="357"/>
      <c r="C117" s="95" t="s">
        <v>331</v>
      </c>
      <c r="D117" s="50" t="s">
        <v>191</v>
      </c>
      <c r="E117" s="377"/>
    </row>
    <row r="118" spans="1:5" ht="14.25">
      <c r="A118" s="48">
        <v>104</v>
      </c>
      <c r="B118" s="357"/>
      <c r="C118" s="55" t="s">
        <v>326</v>
      </c>
      <c r="D118" s="50" t="s">
        <v>191</v>
      </c>
      <c r="E118" s="377"/>
    </row>
    <row r="119" spans="1:5" ht="14.25">
      <c r="A119" s="48">
        <v>105</v>
      </c>
      <c r="B119" s="357"/>
      <c r="C119" s="55" t="s">
        <v>333</v>
      </c>
      <c r="D119" s="50" t="s">
        <v>191</v>
      </c>
      <c r="E119" s="377"/>
    </row>
    <row r="120" spans="1:5" ht="14.25">
      <c r="A120" s="48">
        <v>106</v>
      </c>
      <c r="B120" s="357"/>
      <c r="C120" s="55" t="s">
        <v>327</v>
      </c>
      <c r="D120" s="50" t="s">
        <v>191</v>
      </c>
      <c r="E120" s="377"/>
    </row>
    <row r="121" spans="1:5" ht="14.25">
      <c r="A121" s="48">
        <v>107</v>
      </c>
      <c r="B121" s="357"/>
      <c r="C121" s="55" t="s">
        <v>227</v>
      </c>
      <c r="D121" s="50" t="s">
        <v>191</v>
      </c>
      <c r="E121" s="377"/>
    </row>
    <row r="122" spans="1:5" ht="28.5">
      <c r="A122" s="48">
        <v>108</v>
      </c>
      <c r="B122" s="357"/>
      <c r="C122" s="95" t="s">
        <v>582</v>
      </c>
      <c r="D122" s="83" t="s">
        <v>191</v>
      </c>
      <c r="E122" s="451"/>
    </row>
    <row r="123" spans="1:5" ht="14.25">
      <c r="A123" s="48">
        <v>109</v>
      </c>
      <c r="B123" s="357"/>
      <c r="C123" s="55" t="s">
        <v>234</v>
      </c>
      <c r="D123" s="50" t="s">
        <v>191</v>
      </c>
      <c r="E123" s="377"/>
    </row>
    <row r="124" spans="1:5" ht="14.25">
      <c r="A124" s="48">
        <v>110</v>
      </c>
      <c r="B124" s="357"/>
      <c r="C124" s="55" t="s">
        <v>236</v>
      </c>
      <c r="D124" s="50" t="s">
        <v>191</v>
      </c>
      <c r="E124" s="377"/>
    </row>
    <row r="125" spans="1:5" ht="14.25">
      <c r="A125" s="48">
        <v>111</v>
      </c>
      <c r="B125" s="357"/>
      <c r="C125" s="55" t="s">
        <v>339</v>
      </c>
      <c r="D125" s="50" t="s">
        <v>191</v>
      </c>
      <c r="E125" s="377"/>
    </row>
    <row r="126" spans="1:5" ht="14.25">
      <c r="A126" s="48">
        <v>112</v>
      </c>
      <c r="B126" s="357"/>
      <c r="C126" s="55" t="s">
        <v>340</v>
      </c>
      <c r="D126" s="50" t="s">
        <v>191</v>
      </c>
      <c r="E126" s="377"/>
    </row>
    <row r="127" spans="1:5" ht="14.25">
      <c r="A127" s="48">
        <v>113</v>
      </c>
      <c r="B127" s="357"/>
      <c r="C127" s="55" t="s">
        <v>341</v>
      </c>
      <c r="D127" s="50" t="s">
        <v>191</v>
      </c>
      <c r="E127" s="377"/>
    </row>
    <row r="128" spans="1:5" ht="14.25">
      <c r="A128" s="48">
        <v>114</v>
      </c>
      <c r="B128" s="357"/>
      <c r="C128" s="55" t="s">
        <v>342</v>
      </c>
      <c r="D128" s="50" t="s">
        <v>191</v>
      </c>
      <c r="E128" s="377"/>
    </row>
    <row r="129" spans="1:5" ht="14.25">
      <c r="A129" s="48">
        <v>115</v>
      </c>
      <c r="B129" s="357"/>
      <c r="C129" s="55" t="s">
        <v>343</v>
      </c>
      <c r="D129" s="50" t="s">
        <v>191</v>
      </c>
      <c r="E129" s="377"/>
    </row>
    <row r="130" spans="1:5" ht="14.25">
      <c r="A130" s="48">
        <v>116</v>
      </c>
      <c r="B130" s="357"/>
      <c r="C130" s="55" t="s">
        <v>344</v>
      </c>
      <c r="D130" s="50" t="s">
        <v>191</v>
      </c>
      <c r="E130" s="377"/>
    </row>
    <row r="131" spans="1:5" ht="14.25">
      <c r="A131" s="48">
        <v>117</v>
      </c>
      <c r="B131" s="357"/>
      <c r="C131" s="55" t="s">
        <v>345</v>
      </c>
      <c r="D131" s="50" t="s">
        <v>191</v>
      </c>
      <c r="E131" s="377"/>
    </row>
    <row r="132" spans="1:5" ht="14.25">
      <c r="A132" s="48">
        <v>118</v>
      </c>
      <c r="B132" s="357"/>
      <c r="C132" s="55" t="s">
        <v>346</v>
      </c>
      <c r="D132" s="50" t="s">
        <v>191</v>
      </c>
      <c r="E132" s="377"/>
    </row>
    <row r="133" spans="1:5" ht="14.25">
      <c r="A133" s="48">
        <v>119</v>
      </c>
      <c r="B133" s="357"/>
      <c r="C133" s="55" t="s">
        <v>347</v>
      </c>
      <c r="D133" s="50" t="s">
        <v>191</v>
      </c>
      <c r="E133" s="377"/>
    </row>
    <row r="134" spans="1:5" ht="14.25">
      <c r="A134" s="48">
        <v>120</v>
      </c>
      <c r="B134" s="357"/>
      <c r="C134" s="55" t="s">
        <v>242</v>
      </c>
      <c r="D134" s="50" t="s">
        <v>191</v>
      </c>
      <c r="E134" s="377"/>
    </row>
    <row r="135" spans="1:5" ht="14.25">
      <c r="A135" s="48">
        <v>121</v>
      </c>
      <c r="B135" s="357"/>
      <c r="C135" s="55" t="s">
        <v>337</v>
      </c>
      <c r="D135" s="50" t="s">
        <v>191</v>
      </c>
      <c r="E135" s="377"/>
    </row>
    <row r="136" spans="1:5" ht="14.25">
      <c r="A136" s="48">
        <v>122</v>
      </c>
      <c r="B136" s="357"/>
      <c r="C136" s="55" t="s">
        <v>348</v>
      </c>
      <c r="D136" s="50" t="s">
        <v>191</v>
      </c>
      <c r="E136" s="377"/>
    </row>
    <row r="137" spans="1:5" ht="14.25">
      <c r="A137" s="48">
        <v>123</v>
      </c>
      <c r="B137" s="357"/>
      <c r="C137" s="55" t="s">
        <v>349</v>
      </c>
      <c r="D137" s="50" t="s">
        <v>191</v>
      </c>
      <c r="E137" s="377"/>
    </row>
    <row r="138" spans="1:5" ht="28.5">
      <c r="A138" s="48">
        <v>124</v>
      </c>
      <c r="B138" s="357"/>
      <c r="C138" s="53" t="s">
        <v>352</v>
      </c>
      <c r="D138" s="48" t="s">
        <v>191</v>
      </c>
      <c r="E138" s="377"/>
    </row>
    <row r="139" spans="1:5" ht="14.25">
      <c r="A139" s="48">
        <v>125</v>
      </c>
      <c r="B139" s="357"/>
      <c r="C139" s="55" t="s">
        <v>353</v>
      </c>
      <c r="D139" s="50" t="s">
        <v>190</v>
      </c>
      <c r="E139" s="377"/>
    </row>
    <row r="140" spans="1:5" ht="14.25">
      <c r="A140" s="48">
        <v>126</v>
      </c>
      <c r="B140" s="357"/>
      <c r="C140" s="55" t="s">
        <v>356</v>
      </c>
      <c r="D140" s="50" t="s">
        <v>191</v>
      </c>
      <c r="E140" s="377"/>
    </row>
    <row r="141" spans="1:5" ht="15" customHeight="1">
      <c r="A141" s="48">
        <v>127</v>
      </c>
      <c r="B141" s="357"/>
      <c r="C141" s="55" t="s">
        <v>355</v>
      </c>
      <c r="D141" s="50" t="s">
        <v>191</v>
      </c>
      <c r="E141" s="377"/>
    </row>
    <row r="142" spans="1:5" ht="15" customHeight="1">
      <c r="A142" s="48">
        <v>128</v>
      </c>
      <c r="B142" s="357"/>
      <c r="C142" s="55" t="s">
        <v>79</v>
      </c>
      <c r="D142" s="50" t="s">
        <v>191</v>
      </c>
      <c r="E142" s="377"/>
    </row>
    <row r="143" spans="1:5" ht="14.25">
      <c r="A143" s="48">
        <v>129</v>
      </c>
      <c r="B143" s="357"/>
      <c r="C143" s="55" t="s">
        <v>80</v>
      </c>
      <c r="D143" s="50" t="s">
        <v>191</v>
      </c>
      <c r="E143" s="377"/>
    </row>
    <row r="144" spans="1:5" ht="15" customHeight="1">
      <c r="A144" s="48">
        <v>130</v>
      </c>
      <c r="B144" s="357"/>
      <c r="C144" s="55" t="s">
        <v>357</v>
      </c>
      <c r="D144" s="50" t="s">
        <v>191</v>
      </c>
      <c r="E144" s="377"/>
    </row>
    <row r="145" spans="1:5" ht="15" customHeight="1">
      <c r="A145" s="48">
        <v>131</v>
      </c>
      <c r="B145" s="357"/>
      <c r="C145" s="55" t="s">
        <v>358</v>
      </c>
      <c r="D145" s="50" t="s">
        <v>191</v>
      </c>
      <c r="E145" s="377"/>
    </row>
    <row r="146" spans="1:5" ht="14.25">
      <c r="A146" s="48">
        <v>132</v>
      </c>
      <c r="B146" s="357"/>
      <c r="C146" s="55" t="s">
        <v>125</v>
      </c>
      <c r="D146" s="50" t="s">
        <v>191</v>
      </c>
      <c r="E146" s="377"/>
    </row>
    <row r="147" spans="1:5" ht="16.5" customHeight="1">
      <c r="A147" s="48">
        <v>133</v>
      </c>
      <c r="B147" s="357"/>
      <c r="C147" s="55" t="s">
        <v>583</v>
      </c>
      <c r="D147" s="50" t="s">
        <v>191</v>
      </c>
      <c r="E147" s="377"/>
    </row>
    <row r="148" spans="1:5" ht="15" customHeight="1">
      <c r="A148" s="48">
        <v>134</v>
      </c>
      <c r="B148" s="357"/>
      <c r="C148" s="55" t="s">
        <v>81</v>
      </c>
      <c r="D148" s="50" t="s">
        <v>191</v>
      </c>
      <c r="E148" s="377"/>
    </row>
    <row r="149" spans="1:5" ht="14.25">
      <c r="A149" s="48">
        <v>135</v>
      </c>
      <c r="B149" s="357"/>
      <c r="C149" s="55" t="s">
        <v>110</v>
      </c>
      <c r="D149" s="50" t="s">
        <v>191</v>
      </c>
      <c r="E149" s="377"/>
    </row>
    <row r="150" spans="1:5" ht="14.25">
      <c r="A150" s="48">
        <v>136</v>
      </c>
      <c r="B150" s="357"/>
      <c r="C150" s="55" t="s">
        <v>359</v>
      </c>
      <c r="D150" s="50" t="s">
        <v>191</v>
      </c>
      <c r="E150" s="377"/>
    </row>
    <row r="151" spans="1:5" ht="14.25">
      <c r="A151" s="48">
        <v>137</v>
      </c>
      <c r="B151" s="357"/>
      <c r="C151" s="55" t="s">
        <v>360</v>
      </c>
      <c r="D151" s="50" t="s">
        <v>191</v>
      </c>
      <c r="E151" s="377"/>
    </row>
    <row r="152" spans="1:5" ht="14.25">
      <c r="A152" s="48">
        <v>138</v>
      </c>
      <c r="B152" s="357"/>
      <c r="C152" s="55" t="s">
        <v>361</v>
      </c>
      <c r="D152" s="50" t="s">
        <v>191</v>
      </c>
      <c r="E152" s="377"/>
    </row>
    <row r="153" spans="1:5" ht="45" customHeight="1">
      <c r="A153" s="48">
        <v>139</v>
      </c>
      <c r="B153" s="357"/>
      <c r="C153" s="55" t="s">
        <v>354</v>
      </c>
      <c r="D153" s="50" t="s">
        <v>191</v>
      </c>
      <c r="E153" s="377"/>
    </row>
    <row r="154" spans="1:5" s="30" customFormat="1" ht="45" customHeight="1">
      <c r="A154" s="48">
        <v>140</v>
      </c>
      <c r="B154" s="357"/>
      <c r="C154" s="53" t="s">
        <v>25</v>
      </c>
      <c r="D154" s="48" t="s">
        <v>190</v>
      </c>
      <c r="E154" s="377"/>
    </row>
    <row r="155" spans="1:5" ht="15" customHeight="1">
      <c r="A155" s="48">
        <v>141</v>
      </c>
      <c r="B155" s="357"/>
      <c r="C155" s="53" t="s">
        <v>27</v>
      </c>
      <c r="D155" s="48" t="s">
        <v>191</v>
      </c>
      <c r="E155" s="377"/>
    </row>
    <row r="156" spans="1:5" ht="30" customHeight="1">
      <c r="A156" s="48">
        <v>142</v>
      </c>
      <c r="B156" s="357"/>
      <c r="C156" s="53" t="s">
        <v>26</v>
      </c>
      <c r="D156" s="48" t="s">
        <v>191</v>
      </c>
      <c r="E156" s="377"/>
    </row>
    <row r="157" spans="1:5" ht="28.5">
      <c r="A157" s="48">
        <v>143</v>
      </c>
      <c r="B157" s="357"/>
      <c r="C157" s="53" t="s">
        <v>28</v>
      </c>
      <c r="D157" s="48" t="s">
        <v>190</v>
      </c>
      <c r="E157" s="377"/>
    </row>
    <row r="158" spans="1:5" ht="30" customHeight="1">
      <c r="A158" s="48">
        <v>144</v>
      </c>
      <c r="B158" s="357"/>
      <c r="C158" s="53" t="s">
        <v>30</v>
      </c>
      <c r="D158" s="83" t="s">
        <v>195</v>
      </c>
      <c r="E158" s="377"/>
    </row>
    <row r="159" spans="1:5" ht="28.5">
      <c r="A159" s="48">
        <v>145</v>
      </c>
      <c r="B159" s="357"/>
      <c r="C159" s="53" t="s">
        <v>31</v>
      </c>
      <c r="D159" s="83" t="s">
        <v>385</v>
      </c>
      <c r="E159" s="377"/>
    </row>
    <row r="160" spans="1:5" s="30" customFormat="1" ht="15" customHeight="1">
      <c r="A160" s="48">
        <v>146</v>
      </c>
      <c r="B160" s="357"/>
      <c r="C160" s="80" t="s">
        <v>134</v>
      </c>
      <c r="D160" s="74" t="s">
        <v>386</v>
      </c>
      <c r="E160" s="451"/>
    </row>
    <row r="161" spans="1:5" ht="16.5">
      <c r="A161" s="48">
        <v>147</v>
      </c>
      <c r="B161" s="357"/>
      <c r="C161" s="53" t="s">
        <v>362</v>
      </c>
      <c r="D161" s="48" t="s">
        <v>385</v>
      </c>
      <c r="E161" s="377"/>
    </row>
    <row r="162" spans="1:5" ht="16.5">
      <c r="A162" s="48">
        <v>148</v>
      </c>
      <c r="B162" s="357"/>
      <c r="C162" s="53" t="s">
        <v>249</v>
      </c>
      <c r="D162" s="48" t="s">
        <v>385</v>
      </c>
      <c r="E162" s="377"/>
    </row>
    <row r="163" spans="1:5" ht="14.25">
      <c r="A163" s="48">
        <v>149</v>
      </c>
      <c r="B163" s="357"/>
      <c r="C163" s="53" t="s">
        <v>135</v>
      </c>
      <c r="D163" s="48" t="s">
        <v>191</v>
      </c>
      <c r="E163" s="377"/>
    </row>
    <row r="164" spans="1:5" s="2" customFormat="1" ht="14.25">
      <c r="A164" s="48">
        <v>150</v>
      </c>
      <c r="B164" s="357"/>
      <c r="C164" s="53" t="s">
        <v>250</v>
      </c>
      <c r="D164" s="48" t="s">
        <v>251</v>
      </c>
      <c r="E164" s="377"/>
    </row>
    <row r="165" spans="1:5" s="30" customFormat="1" ht="14.25">
      <c r="A165" s="48">
        <v>151</v>
      </c>
      <c r="B165" s="357"/>
      <c r="C165" s="55" t="s">
        <v>29</v>
      </c>
      <c r="D165" s="50" t="s">
        <v>191</v>
      </c>
      <c r="E165" s="377"/>
    </row>
    <row r="166" spans="1:5" ht="28.5">
      <c r="A166" s="48">
        <v>152</v>
      </c>
      <c r="B166" s="357"/>
      <c r="C166" s="53" t="s">
        <v>34</v>
      </c>
      <c r="D166" s="48" t="s">
        <v>386</v>
      </c>
      <c r="E166" s="377"/>
    </row>
    <row r="167" spans="1:5" s="2" customFormat="1" ht="12.75" customHeight="1">
      <c r="A167" s="48">
        <v>153</v>
      </c>
      <c r="B167" s="357"/>
      <c r="C167" s="49" t="s">
        <v>140</v>
      </c>
      <c r="D167" s="50" t="s">
        <v>385</v>
      </c>
      <c r="E167" s="377"/>
    </row>
    <row r="168" spans="1:5" s="2" customFormat="1" ht="12.75" customHeight="1">
      <c r="A168" s="48">
        <v>154</v>
      </c>
      <c r="B168" s="357"/>
      <c r="C168" s="49" t="s">
        <v>139</v>
      </c>
      <c r="D168" s="50" t="s">
        <v>385</v>
      </c>
      <c r="E168" s="377"/>
    </row>
    <row r="169" spans="1:5" s="2" customFormat="1" ht="12.75" customHeight="1">
      <c r="A169" s="48">
        <v>155</v>
      </c>
      <c r="B169" s="357"/>
      <c r="C169" s="80" t="s">
        <v>72</v>
      </c>
      <c r="D169" s="50" t="s">
        <v>385</v>
      </c>
      <c r="E169" s="377"/>
    </row>
    <row r="170" spans="1:5" ht="29.25" customHeight="1">
      <c r="A170" s="48">
        <v>156</v>
      </c>
      <c r="B170" s="357"/>
      <c r="C170" s="80" t="s">
        <v>73</v>
      </c>
      <c r="D170" s="50" t="s">
        <v>385</v>
      </c>
      <c r="E170" s="377"/>
    </row>
    <row r="171" spans="1:5" ht="28.5">
      <c r="A171" s="48">
        <v>157</v>
      </c>
      <c r="B171" s="357"/>
      <c r="C171" s="53" t="s">
        <v>141</v>
      </c>
      <c r="D171" s="50" t="s">
        <v>385</v>
      </c>
      <c r="E171" s="377"/>
    </row>
    <row r="172" spans="1:5" ht="14.25">
      <c r="A172" s="48">
        <v>158</v>
      </c>
      <c r="B172" s="357"/>
      <c r="C172" s="53" t="s">
        <v>126</v>
      </c>
      <c r="D172" s="48" t="s">
        <v>190</v>
      </c>
      <c r="E172" s="377"/>
    </row>
    <row r="173" spans="1:5" ht="28.5">
      <c r="A173" s="48">
        <v>159</v>
      </c>
      <c r="B173" s="357"/>
      <c r="C173" s="53" t="s">
        <v>36</v>
      </c>
      <c r="D173" s="48" t="s">
        <v>191</v>
      </c>
      <c r="E173" s="377"/>
    </row>
    <row r="174" spans="1:5" ht="16.5">
      <c r="A174" s="48">
        <v>160</v>
      </c>
      <c r="B174" s="357"/>
      <c r="C174" s="77" t="s">
        <v>35</v>
      </c>
      <c r="D174" s="48" t="s">
        <v>386</v>
      </c>
      <c r="E174" s="377"/>
    </row>
    <row r="175" spans="1:5" ht="16.5">
      <c r="A175" s="48">
        <v>161</v>
      </c>
      <c r="B175" s="357"/>
      <c r="C175" s="77" t="s">
        <v>86</v>
      </c>
      <c r="D175" s="83" t="s">
        <v>385</v>
      </c>
      <c r="E175" s="377"/>
    </row>
    <row r="176" spans="1:5" ht="16.5">
      <c r="A176" s="48">
        <v>162</v>
      </c>
      <c r="B176" s="357"/>
      <c r="C176" s="77" t="s">
        <v>71</v>
      </c>
      <c r="D176" s="83" t="s">
        <v>385</v>
      </c>
      <c r="E176" s="377"/>
    </row>
    <row r="177" spans="1:5" ht="16.5">
      <c r="A177" s="48">
        <v>163</v>
      </c>
      <c r="B177" s="357"/>
      <c r="C177" s="49" t="s">
        <v>77</v>
      </c>
      <c r="D177" s="48" t="s">
        <v>385</v>
      </c>
      <c r="E177" s="377"/>
    </row>
    <row r="178" spans="1:5" ht="16.5">
      <c r="A178" s="48">
        <v>164</v>
      </c>
      <c r="B178" s="357"/>
      <c r="C178" s="49" t="s">
        <v>78</v>
      </c>
      <c r="D178" s="48" t="s">
        <v>385</v>
      </c>
      <c r="E178" s="377"/>
    </row>
    <row r="179" spans="1:5" ht="16.5">
      <c r="A179" s="48">
        <v>165</v>
      </c>
      <c r="B179" s="357"/>
      <c r="C179" s="53" t="s">
        <v>76</v>
      </c>
      <c r="D179" s="48" t="s">
        <v>385</v>
      </c>
      <c r="E179" s="377"/>
    </row>
    <row r="180" spans="1:5" ht="28.5">
      <c r="A180" s="48">
        <v>166</v>
      </c>
      <c r="B180" s="357"/>
      <c r="C180" s="53" t="s">
        <v>87</v>
      </c>
      <c r="D180" s="48" t="s">
        <v>385</v>
      </c>
      <c r="E180" s="377"/>
    </row>
    <row r="181" spans="1:5" ht="28.5">
      <c r="A181" s="48">
        <v>167</v>
      </c>
      <c r="B181" s="357"/>
      <c r="C181" s="80" t="s">
        <v>130</v>
      </c>
      <c r="D181" s="74" t="s">
        <v>190</v>
      </c>
      <c r="E181" s="451"/>
    </row>
    <row r="182" spans="1:5" ht="28.5">
      <c r="A182" s="48">
        <v>168</v>
      </c>
      <c r="B182" s="357"/>
      <c r="C182" s="80" t="s">
        <v>131</v>
      </c>
      <c r="D182" s="74" t="s">
        <v>191</v>
      </c>
      <c r="E182" s="451"/>
    </row>
    <row r="183" spans="1:5" ht="14.25">
      <c r="A183" s="48">
        <v>169</v>
      </c>
      <c r="B183" s="357"/>
      <c r="C183" s="55" t="s">
        <v>88</v>
      </c>
      <c r="D183" s="50" t="s">
        <v>190</v>
      </c>
      <c r="E183" s="377"/>
    </row>
    <row r="184" spans="1:5" ht="14.25">
      <c r="A184" s="48">
        <v>170</v>
      </c>
      <c r="B184" s="357"/>
      <c r="C184" s="53" t="s">
        <v>37</v>
      </c>
      <c r="D184" s="48" t="s">
        <v>190</v>
      </c>
      <c r="E184" s="377"/>
    </row>
    <row r="185" spans="1:5" ht="28.5">
      <c r="A185" s="48">
        <v>171</v>
      </c>
      <c r="B185" s="357"/>
      <c r="C185" s="53" t="s">
        <v>38</v>
      </c>
      <c r="D185" s="48" t="s">
        <v>386</v>
      </c>
      <c r="E185" s="377"/>
    </row>
    <row r="186" spans="1:5" ht="14.25">
      <c r="A186" s="48">
        <v>172</v>
      </c>
      <c r="B186" s="357"/>
      <c r="C186" s="53" t="s">
        <v>39</v>
      </c>
      <c r="D186" s="48" t="s">
        <v>190</v>
      </c>
      <c r="E186" s="377"/>
    </row>
    <row r="187" spans="1:5" ht="16.5">
      <c r="A187" s="48">
        <v>173</v>
      </c>
      <c r="B187" s="357"/>
      <c r="C187" s="53" t="s">
        <v>40</v>
      </c>
      <c r="D187" s="48" t="s">
        <v>386</v>
      </c>
      <c r="E187" s="377"/>
    </row>
    <row r="188" spans="1:5" ht="28.5">
      <c r="A188" s="48">
        <v>174</v>
      </c>
      <c r="B188" s="357"/>
      <c r="C188" s="80" t="s">
        <v>41</v>
      </c>
      <c r="D188" s="50" t="s">
        <v>385</v>
      </c>
      <c r="E188" s="377"/>
    </row>
    <row r="189" spans="1:5" ht="16.5">
      <c r="A189" s="48">
        <v>175</v>
      </c>
      <c r="B189" s="357"/>
      <c r="C189" s="80" t="s">
        <v>42</v>
      </c>
      <c r="D189" s="50" t="s">
        <v>385</v>
      </c>
      <c r="E189" s="377"/>
    </row>
    <row r="190" spans="1:5" ht="42.75">
      <c r="A190" s="48">
        <v>176</v>
      </c>
      <c r="B190" s="357"/>
      <c r="C190" s="53" t="s">
        <v>43</v>
      </c>
      <c r="D190" s="50" t="s">
        <v>385</v>
      </c>
      <c r="E190" s="377"/>
    </row>
    <row r="191" spans="1:5" ht="14.25">
      <c r="A191" s="48">
        <v>177</v>
      </c>
      <c r="B191" s="357"/>
      <c r="C191" s="55" t="s">
        <v>65</v>
      </c>
      <c r="D191" s="50" t="s">
        <v>191</v>
      </c>
      <c r="E191" s="377"/>
    </row>
    <row r="192" spans="1:5" ht="15" customHeight="1">
      <c r="A192" s="48">
        <v>178</v>
      </c>
      <c r="B192" s="357"/>
      <c r="C192" s="55" t="s">
        <v>124</v>
      </c>
      <c r="D192" s="50" t="s">
        <v>191</v>
      </c>
      <c r="E192" s="377"/>
    </row>
    <row r="193" spans="1:5" ht="15" customHeight="1">
      <c r="A193" s="48">
        <v>179</v>
      </c>
      <c r="B193" s="357"/>
      <c r="C193" s="55" t="s">
        <v>323</v>
      </c>
      <c r="D193" s="50" t="s">
        <v>191</v>
      </c>
      <c r="E193" s="377"/>
    </row>
    <row r="194" spans="1:5" ht="14.25">
      <c r="A194" s="48">
        <v>180</v>
      </c>
      <c r="B194" s="357"/>
      <c r="C194" s="55" t="s">
        <v>45</v>
      </c>
      <c r="D194" s="50" t="s">
        <v>191</v>
      </c>
      <c r="E194" s="377"/>
    </row>
    <row r="195" spans="1:5" ht="15" customHeight="1">
      <c r="A195" s="48">
        <v>181</v>
      </c>
      <c r="B195" s="357"/>
      <c r="C195" s="55" t="s">
        <v>66</v>
      </c>
      <c r="D195" s="50" t="s">
        <v>191</v>
      </c>
      <c r="E195" s="377"/>
    </row>
    <row r="196" spans="1:5" ht="15" customHeight="1">
      <c r="A196" s="48">
        <v>182</v>
      </c>
      <c r="B196" s="357"/>
      <c r="C196" s="55" t="s">
        <v>67</v>
      </c>
      <c r="D196" s="50" t="s">
        <v>191</v>
      </c>
      <c r="E196" s="377"/>
    </row>
    <row r="197" spans="1:5" ht="14.25">
      <c r="A197" s="48">
        <v>183</v>
      </c>
      <c r="B197" s="357"/>
      <c r="C197" s="55" t="s">
        <v>68</v>
      </c>
      <c r="D197" s="50" t="s">
        <v>191</v>
      </c>
      <c r="E197" s="377"/>
    </row>
    <row r="198" spans="1:5" ht="15" customHeight="1">
      <c r="A198" s="48">
        <v>184</v>
      </c>
      <c r="B198" s="357"/>
      <c r="C198" s="55" t="s">
        <v>64</v>
      </c>
      <c r="D198" s="50" t="s">
        <v>191</v>
      </c>
      <c r="E198" s="377"/>
    </row>
    <row r="199" spans="1:5" ht="15" customHeight="1">
      <c r="A199" s="48">
        <v>185</v>
      </c>
      <c r="B199" s="357"/>
      <c r="C199" s="53" t="s">
        <v>69</v>
      </c>
      <c r="D199" s="48" t="s">
        <v>191</v>
      </c>
      <c r="E199" s="377"/>
    </row>
    <row r="200" spans="1:5" ht="33.75" customHeight="1">
      <c r="A200" s="48">
        <v>186</v>
      </c>
      <c r="B200" s="357"/>
      <c r="C200" s="53" t="s">
        <v>70</v>
      </c>
      <c r="D200" s="83" t="s">
        <v>385</v>
      </c>
      <c r="E200" s="377"/>
    </row>
    <row r="201" spans="1:5" ht="15" customHeight="1">
      <c r="A201" s="48">
        <v>187</v>
      </c>
      <c r="B201" s="357"/>
      <c r="C201" s="53" t="s">
        <v>177</v>
      </c>
      <c r="D201" s="48" t="s">
        <v>386</v>
      </c>
      <c r="E201" s="377"/>
    </row>
    <row r="202" spans="1:5" ht="28.5">
      <c r="A202" s="48">
        <v>188</v>
      </c>
      <c r="B202" s="357"/>
      <c r="C202" s="53" t="s">
        <v>391</v>
      </c>
      <c r="D202" s="48" t="s">
        <v>191</v>
      </c>
      <c r="E202" s="377"/>
    </row>
    <row r="203" spans="1:5" ht="27">
      <c r="A203" s="48">
        <v>189</v>
      </c>
      <c r="B203" s="357"/>
      <c r="C203" s="53" t="s">
        <v>390</v>
      </c>
      <c r="D203" s="48" t="s">
        <v>190</v>
      </c>
      <c r="E203" s="377"/>
    </row>
    <row r="204" spans="1:5" ht="16.5">
      <c r="A204" s="48">
        <v>190</v>
      </c>
      <c r="B204" s="357"/>
      <c r="C204" s="53" t="s">
        <v>180</v>
      </c>
      <c r="D204" s="48" t="s">
        <v>386</v>
      </c>
      <c r="E204" s="377"/>
    </row>
    <row r="205" spans="1:5" ht="14.25">
      <c r="A205" s="48">
        <v>191</v>
      </c>
      <c r="B205" s="357"/>
      <c r="C205" s="55" t="s">
        <v>178</v>
      </c>
      <c r="D205" s="50" t="s">
        <v>191</v>
      </c>
      <c r="E205" s="377"/>
    </row>
    <row r="206" spans="1:5" ht="14.25">
      <c r="A206" s="48">
        <v>192</v>
      </c>
      <c r="B206" s="357"/>
      <c r="C206" s="55" t="s">
        <v>239</v>
      </c>
      <c r="D206" s="50" t="s">
        <v>191</v>
      </c>
      <c r="E206" s="377"/>
    </row>
    <row r="207" spans="1:5" s="30" customFormat="1" ht="14.25">
      <c r="A207" s="48">
        <v>193</v>
      </c>
      <c r="B207" s="357"/>
      <c r="C207" s="55" t="s">
        <v>179</v>
      </c>
      <c r="D207" s="50" t="s">
        <v>191</v>
      </c>
      <c r="E207" s="377"/>
    </row>
    <row r="208" spans="1:5" ht="26.25" customHeight="1">
      <c r="A208" s="48">
        <v>194</v>
      </c>
      <c r="B208" s="357"/>
      <c r="C208" s="55" t="s">
        <v>584</v>
      </c>
      <c r="D208" s="50" t="s">
        <v>191</v>
      </c>
      <c r="E208" s="377"/>
    </row>
    <row r="209" spans="1:5" ht="30" customHeight="1">
      <c r="A209" s="48">
        <v>195</v>
      </c>
      <c r="B209" s="357"/>
      <c r="C209" s="55" t="s">
        <v>585</v>
      </c>
      <c r="D209" s="50" t="s">
        <v>190</v>
      </c>
      <c r="E209" s="377"/>
    </row>
    <row r="210" spans="1:5" ht="14.25">
      <c r="A210" s="48">
        <v>196</v>
      </c>
      <c r="B210" s="357"/>
      <c r="C210" s="55" t="s">
        <v>142</v>
      </c>
      <c r="D210" s="50" t="s">
        <v>191</v>
      </c>
      <c r="E210" s="377"/>
    </row>
    <row r="211" spans="1:5" ht="28.5">
      <c r="A211" s="48">
        <v>197</v>
      </c>
      <c r="B211" s="357"/>
      <c r="C211" s="53" t="s">
        <v>182</v>
      </c>
      <c r="D211" s="48" t="s">
        <v>190</v>
      </c>
      <c r="E211" s="377"/>
    </row>
    <row r="212" spans="1:5" ht="28.5">
      <c r="A212" s="48">
        <v>198</v>
      </c>
      <c r="B212" s="357"/>
      <c r="C212" s="53" t="s">
        <v>183</v>
      </c>
      <c r="D212" s="48" t="s">
        <v>386</v>
      </c>
      <c r="E212" s="377"/>
    </row>
    <row r="213" spans="1:5" ht="28.5">
      <c r="A213" s="48">
        <v>199</v>
      </c>
      <c r="B213" s="357"/>
      <c r="C213" s="80" t="s">
        <v>184</v>
      </c>
      <c r="D213" s="50" t="s">
        <v>385</v>
      </c>
      <c r="E213" s="377"/>
    </row>
    <row r="214" spans="1:5" ht="14.25">
      <c r="A214" s="48">
        <v>200</v>
      </c>
      <c r="B214" s="357"/>
      <c r="C214" s="55" t="s">
        <v>186</v>
      </c>
      <c r="D214" s="50" t="s">
        <v>190</v>
      </c>
      <c r="E214" s="377"/>
    </row>
    <row r="215" spans="1:5" ht="14.25">
      <c r="A215" s="48">
        <v>201</v>
      </c>
      <c r="B215" s="357"/>
      <c r="C215" s="55" t="s">
        <v>187</v>
      </c>
      <c r="D215" s="50" t="s">
        <v>191</v>
      </c>
      <c r="E215" s="377"/>
    </row>
    <row r="216" spans="1:5" ht="14.25">
      <c r="A216" s="48">
        <v>202</v>
      </c>
      <c r="B216" s="357"/>
      <c r="C216" s="55" t="s">
        <v>188</v>
      </c>
      <c r="D216" s="50" t="s">
        <v>191</v>
      </c>
      <c r="E216" s="377"/>
    </row>
    <row r="217" spans="1:5" ht="42.75">
      <c r="A217" s="48">
        <v>203</v>
      </c>
      <c r="B217" s="357"/>
      <c r="C217" s="53" t="s">
        <v>74</v>
      </c>
      <c r="D217" s="50" t="s">
        <v>385</v>
      </c>
      <c r="E217" s="377"/>
    </row>
    <row r="218" spans="1:5" ht="28.5">
      <c r="A218" s="48">
        <v>204</v>
      </c>
      <c r="B218" s="357"/>
      <c r="C218" s="53" t="s">
        <v>129</v>
      </c>
      <c r="D218" s="50" t="s">
        <v>385</v>
      </c>
      <c r="E218" s="377"/>
    </row>
    <row r="219" spans="1:5" ht="15" customHeight="1">
      <c r="A219" s="48">
        <v>205</v>
      </c>
      <c r="B219" s="357"/>
      <c r="C219" s="53" t="s">
        <v>128</v>
      </c>
      <c r="D219" s="48" t="s">
        <v>191</v>
      </c>
      <c r="E219" s="377"/>
    </row>
    <row r="220" spans="1:5" ht="15" customHeight="1">
      <c r="A220" s="48">
        <v>206</v>
      </c>
      <c r="B220" s="357"/>
      <c r="C220" s="53" t="s">
        <v>123</v>
      </c>
      <c r="D220" s="48" t="s">
        <v>191</v>
      </c>
      <c r="E220" s="377"/>
    </row>
    <row r="221" spans="1:5" ht="14.25">
      <c r="A221" s="48">
        <v>207</v>
      </c>
      <c r="B221" s="357"/>
      <c r="C221" s="53" t="s">
        <v>144</v>
      </c>
      <c r="D221" s="48" t="s">
        <v>190</v>
      </c>
      <c r="E221" s="377"/>
    </row>
    <row r="222" spans="1:5" ht="14.25">
      <c r="A222" s="48">
        <v>208</v>
      </c>
      <c r="B222" s="357"/>
      <c r="C222" s="53" t="s">
        <v>127</v>
      </c>
      <c r="D222" s="48" t="s">
        <v>190</v>
      </c>
      <c r="E222" s="377"/>
    </row>
    <row r="223" spans="1:5" ht="14.25">
      <c r="A223" s="48">
        <v>209</v>
      </c>
      <c r="B223" s="357"/>
      <c r="C223" s="77" t="s">
        <v>133</v>
      </c>
      <c r="D223" s="48" t="s">
        <v>191</v>
      </c>
      <c r="E223" s="357"/>
    </row>
    <row r="224" spans="1:5" ht="28.5">
      <c r="A224" s="48">
        <v>210</v>
      </c>
      <c r="B224" s="357"/>
      <c r="C224" s="80" t="s">
        <v>114</v>
      </c>
      <c r="D224" s="74" t="s">
        <v>386</v>
      </c>
      <c r="E224" s="451"/>
    </row>
    <row r="225" spans="1:5" ht="16.5">
      <c r="A225" s="48">
        <v>211</v>
      </c>
      <c r="B225" s="357"/>
      <c r="C225" s="53" t="s">
        <v>115</v>
      </c>
      <c r="D225" s="48" t="s">
        <v>385</v>
      </c>
      <c r="E225" s="377"/>
    </row>
    <row r="226" spans="1:5" ht="16.5">
      <c r="A226" s="48">
        <v>212</v>
      </c>
      <c r="B226" s="357"/>
      <c r="C226" s="53" t="s">
        <v>116</v>
      </c>
      <c r="D226" s="48" t="s">
        <v>385</v>
      </c>
      <c r="E226" s="377"/>
    </row>
    <row r="227" spans="1:5" ht="14.25">
      <c r="A227" s="48">
        <v>213</v>
      </c>
      <c r="B227" s="357"/>
      <c r="C227" s="53" t="s">
        <v>118</v>
      </c>
      <c r="D227" s="48" t="s">
        <v>191</v>
      </c>
      <c r="E227" s="377"/>
    </row>
    <row r="228" spans="1:5" ht="30" customHeight="1">
      <c r="A228" s="48">
        <v>214</v>
      </c>
      <c r="B228" s="357"/>
      <c r="C228" s="53" t="s">
        <v>111</v>
      </c>
      <c r="D228" s="48" t="s">
        <v>251</v>
      </c>
      <c r="E228" s="377"/>
    </row>
    <row r="229" spans="1:5" ht="14.25">
      <c r="A229" s="48">
        <v>215</v>
      </c>
      <c r="B229" s="357"/>
      <c r="C229" s="55" t="s">
        <v>143</v>
      </c>
      <c r="D229" s="50" t="s">
        <v>190</v>
      </c>
      <c r="E229" s="377"/>
    </row>
    <row r="230" spans="1:5" ht="14.25">
      <c r="A230" s="48">
        <v>216</v>
      </c>
      <c r="B230" s="357"/>
      <c r="C230" s="55" t="s">
        <v>95</v>
      </c>
      <c r="D230" s="50" t="s">
        <v>190</v>
      </c>
      <c r="E230" s="377"/>
    </row>
    <row r="231" spans="1:5" s="2" customFormat="1" ht="14.25">
      <c r="A231" s="48">
        <v>217</v>
      </c>
      <c r="B231" s="357"/>
      <c r="C231" s="55" t="s">
        <v>104</v>
      </c>
      <c r="D231" s="50" t="s">
        <v>190</v>
      </c>
      <c r="E231" s="377"/>
    </row>
    <row r="232" spans="1:5" s="30" customFormat="1" ht="14.25">
      <c r="A232" s="48">
        <v>218</v>
      </c>
      <c r="B232" s="357"/>
      <c r="C232" s="55" t="s">
        <v>100</v>
      </c>
      <c r="D232" s="50" t="s">
        <v>190</v>
      </c>
      <c r="E232" s="377"/>
    </row>
    <row r="233" spans="1:5" ht="14.25">
      <c r="A233" s="48">
        <v>219</v>
      </c>
      <c r="B233" s="357"/>
      <c r="C233" s="55" t="s">
        <v>101</v>
      </c>
      <c r="D233" s="50" t="s">
        <v>190</v>
      </c>
      <c r="E233" s="377"/>
    </row>
    <row r="234" spans="1:5" s="2" customFormat="1" ht="14.25">
      <c r="A234" s="48">
        <v>220</v>
      </c>
      <c r="B234" s="357"/>
      <c r="C234" s="55" t="s">
        <v>94</v>
      </c>
      <c r="D234" s="50" t="s">
        <v>191</v>
      </c>
      <c r="E234" s="377"/>
    </row>
    <row r="235" spans="1:5" s="2" customFormat="1" ht="14.25">
      <c r="A235" s="48">
        <v>221</v>
      </c>
      <c r="B235" s="357"/>
      <c r="C235" s="77" t="s">
        <v>96</v>
      </c>
      <c r="D235" s="50" t="s">
        <v>191</v>
      </c>
      <c r="E235" s="451"/>
    </row>
    <row r="236" spans="1:5" ht="14.25">
      <c r="A236" s="48">
        <v>222</v>
      </c>
      <c r="B236" s="357"/>
      <c r="C236" s="446" t="s">
        <v>105</v>
      </c>
      <c r="D236" s="50" t="s">
        <v>191</v>
      </c>
      <c r="E236" s="451"/>
    </row>
    <row r="237" spans="1:5" s="2" customFormat="1" ht="14.25">
      <c r="A237" s="48">
        <v>223</v>
      </c>
      <c r="B237" s="357"/>
      <c r="C237" s="446" t="s">
        <v>106</v>
      </c>
      <c r="D237" s="50" t="s">
        <v>191</v>
      </c>
      <c r="E237" s="451"/>
    </row>
    <row r="238" spans="1:5" s="2" customFormat="1" ht="12.75" customHeight="1">
      <c r="A238" s="48">
        <v>224</v>
      </c>
      <c r="B238" s="357"/>
      <c r="C238" s="446" t="s">
        <v>113</v>
      </c>
      <c r="D238" s="50" t="s">
        <v>191</v>
      </c>
      <c r="E238" s="451"/>
    </row>
    <row r="239" spans="1:5" ht="14.25">
      <c r="A239" s="48">
        <v>225</v>
      </c>
      <c r="B239" s="357"/>
      <c r="C239" s="53" t="s">
        <v>388</v>
      </c>
      <c r="D239" s="50" t="s">
        <v>190</v>
      </c>
      <c r="E239" s="377"/>
    </row>
    <row r="240" spans="1:5" ht="14.25">
      <c r="A240" s="48">
        <v>226</v>
      </c>
      <c r="B240" s="357"/>
      <c r="C240" s="55" t="s">
        <v>92</v>
      </c>
      <c r="D240" s="50" t="s">
        <v>191</v>
      </c>
      <c r="E240" s="377"/>
    </row>
    <row r="241" spans="1:5" ht="14.25">
      <c r="A241" s="48">
        <v>227</v>
      </c>
      <c r="B241" s="357"/>
      <c r="C241" s="55" t="s">
        <v>93</v>
      </c>
      <c r="D241" s="50" t="s">
        <v>191</v>
      </c>
      <c r="E241" s="377"/>
    </row>
    <row r="242" spans="1:5" ht="14.25">
      <c r="A242" s="48">
        <v>228</v>
      </c>
      <c r="B242" s="357"/>
      <c r="C242" s="55" t="s">
        <v>102</v>
      </c>
      <c r="D242" s="50" t="s">
        <v>191</v>
      </c>
      <c r="E242" s="377"/>
    </row>
    <row r="243" spans="1:5" ht="14.25">
      <c r="A243" s="48">
        <v>229</v>
      </c>
      <c r="B243" s="357"/>
      <c r="C243" s="55" t="s">
        <v>103</v>
      </c>
      <c r="D243" s="50" t="s">
        <v>191</v>
      </c>
      <c r="E243" s="377"/>
    </row>
    <row r="244" spans="1:5" ht="28.5">
      <c r="A244" s="48">
        <v>230</v>
      </c>
      <c r="B244" s="357"/>
      <c r="C244" s="95" t="s">
        <v>389</v>
      </c>
      <c r="D244" s="83" t="s">
        <v>191</v>
      </c>
      <c r="E244" s="451"/>
    </row>
    <row r="245" spans="1:5" ht="14.25">
      <c r="A245" s="48">
        <v>231</v>
      </c>
      <c r="B245" s="357"/>
      <c r="C245" s="55" t="s">
        <v>121</v>
      </c>
      <c r="D245" s="50" t="s">
        <v>191</v>
      </c>
      <c r="E245" s="377"/>
    </row>
    <row r="246" spans="1:5" ht="14.25">
      <c r="A246" s="48">
        <v>232</v>
      </c>
      <c r="B246" s="357"/>
      <c r="C246" s="55" t="s">
        <v>122</v>
      </c>
      <c r="D246" s="50" t="s">
        <v>191</v>
      </c>
      <c r="E246" s="377"/>
    </row>
    <row r="247" spans="1:5" ht="14.25">
      <c r="A247" s="48">
        <v>233</v>
      </c>
      <c r="B247" s="357"/>
      <c r="C247" s="55" t="s">
        <v>112</v>
      </c>
      <c r="D247" s="50" t="s">
        <v>190</v>
      </c>
      <c r="E247" s="377"/>
    </row>
    <row r="248" spans="1:5" ht="14.25">
      <c r="A248" s="48">
        <v>234</v>
      </c>
      <c r="B248" s="357"/>
      <c r="C248" s="55" t="s">
        <v>97</v>
      </c>
      <c r="D248" s="50" t="s">
        <v>191</v>
      </c>
      <c r="E248" s="377"/>
    </row>
    <row r="249" spans="1:5" ht="14.25">
      <c r="A249" s="48">
        <v>235</v>
      </c>
      <c r="B249" s="357"/>
      <c r="C249" s="55" t="s">
        <v>98</v>
      </c>
      <c r="D249" s="50" t="s">
        <v>191</v>
      </c>
      <c r="E249" s="377"/>
    </row>
    <row r="250" spans="1:5" ht="28.5">
      <c r="A250" s="48">
        <v>236</v>
      </c>
      <c r="B250" s="357"/>
      <c r="C250" s="53" t="s">
        <v>145</v>
      </c>
      <c r="D250" s="50" t="s">
        <v>385</v>
      </c>
      <c r="E250" s="377"/>
    </row>
    <row r="251" spans="1:5" ht="28.5">
      <c r="A251" s="48">
        <v>237</v>
      </c>
      <c r="B251" s="357"/>
      <c r="C251" s="53" t="s">
        <v>146</v>
      </c>
      <c r="D251" s="50" t="s">
        <v>385</v>
      </c>
      <c r="E251" s="377"/>
    </row>
    <row r="252" spans="1:5" ht="14.25">
      <c r="A252" s="48">
        <v>238</v>
      </c>
      <c r="B252" s="357"/>
      <c r="C252" s="53" t="s">
        <v>384</v>
      </c>
      <c r="D252" s="50" t="s">
        <v>190</v>
      </c>
      <c r="E252" s="377"/>
    </row>
    <row r="253" spans="1:5" ht="14.25">
      <c r="A253" s="48">
        <v>239</v>
      </c>
      <c r="B253" s="357"/>
      <c r="C253" s="55" t="s">
        <v>89</v>
      </c>
      <c r="D253" s="50" t="s">
        <v>190</v>
      </c>
      <c r="E253" s="377"/>
    </row>
    <row r="254" spans="1:5" ht="14.25">
      <c r="A254" s="48">
        <v>240</v>
      </c>
      <c r="B254" s="357"/>
      <c r="C254" s="55" t="s">
        <v>147</v>
      </c>
      <c r="D254" s="50" t="s">
        <v>190</v>
      </c>
      <c r="E254" s="377"/>
    </row>
    <row r="255" spans="1:5" ht="14.25">
      <c r="A255" s="48">
        <v>241</v>
      </c>
      <c r="B255" s="357"/>
      <c r="C255" s="55" t="s">
        <v>91</v>
      </c>
      <c r="D255" s="50" t="s">
        <v>191</v>
      </c>
      <c r="E255" s="377"/>
    </row>
    <row r="256" spans="1:5" ht="14.25">
      <c r="A256" s="67"/>
      <c r="B256" s="67"/>
      <c r="C256" s="67"/>
      <c r="D256" s="67"/>
      <c r="E256" s="67"/>
    </row>
    <row r="257" spans="2:16" ht="18.75">
      <c r="B257" s="63" t="s">
        <v>370</v>
      </c>
      <c r="C257" s="64" t="s">
        <v>371</v>
      </c>
      <c r="D257" s="62"/>
      <c r="E257" s="62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4:16" ht="14.25">
      <c r="D258" s="29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4:16" ht="15" customHeight="1">
      <c r="D259" s="29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4:16" ht="14.25">
      <c r="D260" s="29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6" s="67" customFormat="1" ht="15">
      <c r="A261" s="65" t="s">
        <v>373</v>
      </c>
      <c r="B261" s="2"/>
      <c r="C261" s="452" t="s">
        <v>586</v>
      </c>
      <c r="E261" s="65"/>
      <c r="F261" s="426"/>
    </row>
    <row r="262" spans="1:6" s="67" customFormat="1" ht="12.75">
      <c r="A262" s="11"/>
      <c r="B262" s="2"/>
      <c r="C262" s="24"/>
      <c r="D262" s="2"/>
      <c r="E262" s="24"/>
      <c r="F262" s="426"/>
    </row>
    <row r="263" spans="1:6" s="67" customFormat="1" ht="14.25">
      <c r="A263" s="11"/>
      <c r="B263" s="2"/>
      <c r="C263" s="68"/>
      <c r="D263" s="142" t="s">
        <v>375</v>
      </c>
      <c r="E263" s="68"/>
      <c r="F263" s="426"/>
    </row>
    <row r="264" spans="1:6" s="67" customFormat="1" ht="12.75">
      <c r="A264" s="11"/>
      <c r="B264" s="2"/>
      <c r="C264" s="285"/>
      <c r="D264" s="453" t="s">
        <v>376</v>
      </c>
      <c r="E264" s="285"/>
      <c r="F264" s="426"/>
    </row>
    <row r="265" spans="1:6" s="67" customFormat="1" ht="14.25">
      <c r="A265" s="11"/>
      <c r="B265" s="2"/>
      <c r="C265" s="68"/>
      <c r="D265" s="142" t="s">
        <v>377</v>
      </c>
      <c r="E265" s="68"/>
      <c r="F265" s="426"/>
    </row>
    <row r="266" spans="1:6" s="67" customFormat="1" ht="12.75">
      <c r="A266" s="11"/>
      <c r="B266" s="2"/>
      <c r="C266" s="285"/>
      <c r="D266" s="453" t="s">
        <v>378</v>
      </c>
      <c r="E266" s="285"/>
      <c r="F266" s="426"/>
    </row>
    <row r="267" spans="1:5" ht="28.5" customHeight="1">
      <c r="A267" s="67"/>
      <c r="B267" s="67"/>
      <c r="C267" s="67"/>
      <c r="D267" s="67"/>
      <c r="E267" s="67"/>
    </row>
    <row r="268" spans="1:5" ht="27.75" customHeight="1">
      <c r="A268" s="67"/>
      <c r="B268" s="67"/>
      <c r="C268" s="67"/>
      <c r="D268" s="67"/>
      <c r="E268" s="67"/>
    </row>
    <row r="269" spans="1:5" ht="29.25" customHeight="1">
      <c r="A269" s="67"/>
      <c r="B269" s="67"/>
      <c r="C269" s="67"/>
      <c r="D269" s="67"/>
      <c r="E269" s="67"/>
    </row>
    <row r="270" spans="1:5" ht="14.25">
      <c r="A270" s="67"/>
      <c r="B270" s="67"/>
      <c r="C270" s="67"/>
      <c r="D270" s="67"/>
      <c r="E270" s="67"/>
    </row>
    <row r="271" spans="1:5" ht="14.25">
      <c r="A271" s="67"/>
      <c r="B271" s="67"/>
      <c r="C271" s="67"/>
      <c r="D271" s="67"/>
      <c r="E271" s="67"/>
    </row>
    <row r="272" spans="1:5" ht="14.25">
      <c r="A272" s="67"/>
      <c r="B272" s="67"/>
      <c r="C272" s="67"/>
      <c r="D272" s="67"/>
      <c r="E272" s="67"/>
    </row>
    <row r="273" spans="1:5" ht="14.25">
      <c r="A273" s="67"/>
      <c r="B273" s="67"/>
      <c r="C273" s="67"/>
      <c r="D273" s="67"/>
      <c r="E273" s="67"/>
    </row>
    <row r="274" spans="1:5" ht="14.25">
      <c r="A274" s="67"/>
      <c r="B274" s="67"/>
      <c r="C274" s="67"/>
      <c r="D274" s="67"/>
      <c r="E274" s="67"/>
    </row>
    <row r="275" spans="1:5" ht="14.25">
      <c r="A275" s="67"/>
      <c r="B275" s="67"/>
      <c r="C275" s="67"/>
      <c r="D275" s="67"/>
      <c r="E275" s="67"/>
    </row>
    <row r="276" spans="1:5" ht="14.25">
      <c r="A276" s="67"/>
      <c r="B276" s="67"/>
      <c r="C276" s="67"/>
      <c r="D276" s="67"/>
      <c r="E276" s="67"/>
    </row>
    <row r="277" spans="1:5" ht="14.25">
      <c r="A277" s="67"/>
      <c r="B277" s="67"/>
      <c r="C277" s="67"/>
      <c r="D277" s="67"/>
      <c r="E277" s="67"/>
    </row>
    <row r="278" spans="1:5" ht="14.25">
      <c r="A278" s="67"/>
      <c r="B278" s="67"/>
      <c r="C278" s="67"/>
      <c r="D278" s="67"/>
      <c r="E278" s="67"/>
    </row>
    <row r="279" spans="1:5" s="30" customFormat="1" ht="14.25">
      <c r="A279" s="67"/>
      <c r="B279" s="67"/>
      <c r="C279" s="67"/>
      <c r="D279" s="67"/>
      <c r="E279" s="67"/>
    </row>
    <row r="280" spans="1:5" ht="14.25">
      <c r="A280" s="67"/>
      <c r="B280" s="67"/>
      <c r="C280" s="67"/>
      <c r="D280" s="67"/>
      <c r="E280" s="67"/>
    </row>
    <row r="281" spans="1:5" ht="14.25">
      <c r="A281" s="67"/>
      <c r="B281" s="67"/>
      <c r="C281" s="67"/>
      <c r="D281" s="67"/>
      <c r="E281" s="67"/>
    </row>
    <row r="282" spans="1:5" ht="14.25">
      <c r="A282" s="67"/>
      <c r="B282" s="67"/>
      <c r="C282" s="67"/>
      <c r="D282" s="67"/>
      <c r="E282" s="67"/>
    </row>
    <row r="283" spans="1:5" ht="14.25">
      <c r="A283" s="67"/>
      <c r="B283" s="67"/>
      <c r="C283" s="67"/>
      <c r="D283" s="67"/>
      <c r="E283" s="67"/>
    </row>
    <row r="284" spans="1:5" ht="14.25">
      <c r="A284" s="67"/>
      <c r="B284" s="67"/>
      <c r="C284" s="67"/>
      <c r="D284" s="67"/>
      <c r="E284" s="67"/>
    </row>
    <row r="285" spans="1:5" ht="14.25">
      <c r="A285" s="67"/>
      <c r="B285" s="67"/>
      <c r="C285" s="67"/>
      <c r="D285" s="67"/>
      <c r="E285" s="67"/>
    </row>
    <row r="286" spans="1:5" ht="14.25">
      <c r="A286" s="67"/>
      <c r="B286" s="67"/>
      <c r="C286" s="67"/>
      <c r="D286" s="67"/>
      <c r="E286" s="67"/>
    </row>
    <row r="287" spans="1:5" ht="17.25" customHeight="1">
      <c r="A287" s="67"/>
      <c r="B287" s="67"/>
      <c r="C287" s="67"/>
      <c r="D287" s="67"/>
      <c r="E287" s="67"/>
    </row>
    <row r="288" spans="1:5" ht="14.25">
      <c r="A288" s="67"/>
      <c r="B288" s="67"/>
      <c r="C288" s="67"/>
      <c r="D288" s="67"/>
      <c r="E288" s="67"/>
    </row>
    <row r="289" spans="1:5" ht="14.25">
      <c r="A289" s="67"/>
      <c r="B289" s="67"/>
      <c r="C289" s="67"/>
      <c r="D289" s="67"/>
      <c r="E289" s="67"/>
    </row>
    <row r="290" spans="1:5" ht="14.25">
      <c r="A290" s="67"/>
      <c r="B290" s="67"/>
      <c r="C290" s="67"/>
      <c r="D290" s="67"/>
      <c r="E290" s="67"/>
    </row>
    <row r="291" spans="1:5" ht="14.25">
      <c r="A291" s="67"/>
      <c r="B291" s="67"/>
      <c r="C291" s="67"/>
      <c r="D291" s="67"/>
      <c r="E291" s="67"/>
    </row>
    <row r="292" spans="1:5" ht="14.25">
      <c r="A292" s="67"/>
      <c r="B292" s="67"/>
      <c r="C292" s="67"/>
      <c r="D292" s="67"/>
      <c r="E292" s="67"/>
    </row>
    <row r="293" spans="1:5" ht="14.25">
      <c r="A293" s="67"/>
      <c r="B293" s="67"/>
      <c r="C293" s="67"/>
      <c r="D293" s="67"/>
      <c r="E293" s="67"/>
    </row>
    <row r="294" spans="1:5" ht="14.25">
      <c r="A294" s="67"/>
      <c r="B294" s="67"/>
      <c r="C294" s="67"/>
      <c r="D294" s="67"/>
      <c r="E294" s="67"/>
    </row>
    <row r="295" spans="1:5" ht="14.25">
      <c r="A295" s="67"/>
      <c r="B295" s="67"/>
      <c r="C295" s="67"/>
      <c r="D295" s="67"/>
      <c r="E295" s="67"/>
    </row>
    <row r="296" spans="1:5" ht="14.25">
      <c r="A296" s="67"/>
      <c r="B296" s="67"/>
      <c r="C296" s="67"/>
      <c r="D296" s="67"/>
      <c r="E296" s="67"/>
    </row>
    <row r="297" spans="1:5" ht="14.25">
      <c r="A297" s="67"/>
      <c r="B297" s="67"/>
      <c r="C297" s="67"/>
      <c r="D297" s="67"/>
      <c r="E297" s="67"/>
    </row>
    <row r="298" spans="1:5" ht="14.25">
      <c r="A298" s="67"/>
      <c r="B298" s="67"/>
      <c r="C298" s="67"/>
      <c r="D298" s="67"/>
      <c r="E298" s="67"/>
    </row>
    <row r="299" spans="1:5" ht="14.25">
      <c r="A299" s="67"/>
      <c r="B299" s="67"/>
      <c r="C299" s="67"/>
      <c r="D299" s="67"/>
      <c r="E299" s="67"/>
    </row>
    <row r="300" spans="1:5" ht="14.25">
      <c r="A300" s="67"/>
      <c r="B300" s="67"/>
      <c r="C300" s="67"/>
      <c r="D300" s="67"/>
      <c r="E300" s="67"/>
    </row>
    <row r="301" spans="1:5" ht="14.25">
      <c r="A301" s="67"/>
      <c r="B301" s="67"/>
      <c r="C301" s="67"/>
      <c r="D301" s="67"/>
      <c r="E301" s="67"/>
    </row>
    <row r="302" spans="1:5" ht="14.25">
      <c r="A302" s="67"/>
      <c r="B302" s="67"/>
      <c r="C302" s="67"/>
      <c r="D302" s="67"/>
      <c r="E302" s="67"/>
    </row>
    <row r="303" spans="1:5" ht="14.25">
      <c r="A303" s="67"/>
      <c r="B303" s="67"/>
      <c r="C303" s="67"/>
      <c r="D303" s="67"/>
      <c r="E303" s="67"/>
    </row>
    <row r="304" spans="1:5" ht="14.25">
      <c r="A304" s="67"/>
      <c r="B304" s="67"/>
      <c r="C304" s="67"/>
      <c r="D304" s="67"/>
      <c r="E304" s="67"/>
    </row>
    <row r="305" spans="1:5" ht="14.25">
      <c r="A305" s="67"/>
      <c r="B305" s="67"/>
      <c r="C305" s="67"/>
      <c r="D305" s="67"/>
      <c r="E305" s="67"/>
    </row>
    <row r="306" spans="1:5" ht="14.25">
      <c r="A306" s="67"/>
      <c r="B306" s="67"/>
      <c r="C306" s="67"/>
      <c r="D306" s="67"/>
      <c r="E306" s="67"/>
    </row>
    <row r="307" spans="1:5" ht="14.25">
      <c r="A307" s="67"/>
      <c r="B307" s="67"/>
      <c r="C307" s="67"/>
      <c r="D307" s="67"/>
      <c r="E307" s="67"/>
    </row>
    <row r="308" spans="1:5" ht="14.25">
      <c r="A308" s="67"/>
      <c r="B308" s="67"/>
      <c r="C308" s="67"/>
      <c r="D308" s="67"/>
      <c r="E308" s="67"/>
    </row>
    <row r="309" spans="1:5" ht="14.25">
      <c r="A309" s="67"/>
      <c r="B309" s="67"/>
      <c r="C309" s="67"/>
      <c r="D309" s="67"/>
      <c r="E309" s="67"/>
    </row>
    <row r="310" spans="1:5" ht="14.25">
      <c r="A310" s="67"/>
      <c r="B310" s="67"/>
      <c r="C310" s="67"/>
      <c r="D310" s="67"/>
      <c r="E310" s="67"/>
    </row>
    <row r="311" spans="1:5" ht="14.25">
      <c r="A311" s="67"/>
      <c r="B311" s="67"/>
      <c r="C311" s="67"/>
      <c r="D311" s="67"/>
      <c r="E311" s="67"/>
    </row>
    <row r="312" spans="1:5" ht="14.25">
      <c r="A312" s="67"/>
      <c r="B312" s="67"/>
      <c r="C312" s="67"/>
      <c r="D312" s="67"/>
      <c r="E312" s="67"/>
    </row>
    <row r="313" spans="1:5" ht="14.25">
      <c r="A313" s="67"/>
      <c r="B313" s="67"/>
      <c r="C313" s="67"/>
      <c r="D313" s="67"/>
      <c r="E313" s="67"/>
    </row>
    <row r="314" spans="1:5" ht="14.25">
      <c r="A314" s="67"/>
      <c r="B314" s="67"/>
      <c r="C314" s="67"/>
      <c r="D314" s="67"/>
      <c r="E314" s="67"/>
    </row>
    <row r="315" spans="1:5" ht="14.25">
      <c r="A315" s="67"/>
      <c r="B315" s="67"/>
      <c r="C315" s="67"/>
      <c r="D315" s="67"/>
      <c r="E315" s="67"/>
    </row>
    <row r="316" spans="1:5" ht="14.25">
      <c r="A316" s="67"/>
      <c r="B316" s="67"/>
      <c r="C316" s="67"/>
      <c r="D316" s="67"/>
      <c r="E316" s="67"/>
    </row>
    <row r="317" spans="1:5" ht="14.25">
      <c r="A317" s="67"/>
      <c r="B317" s="67"/>
      <c r="C317" s="67"/>
      <c r="D317" s="67"/>
      <c r="E317" s="67"/>
    </row>
    <row r="318" spans="1:5" ht="15" customHeight="1">
      <c r="A318" s="67"/>
      <c r="B318" s="67"/>
      <c r="C318" s="67"/>
      <c r="D318" s="67"/>
      <c r="E318" s="67"/>
    </row>
    <row r="319" spans="1:5" ht="15" customHeight="1">
      <c r="A319" s="67"/>
      <c r="B319" s="67"/>
      <c r="C319" s="67"/>
      <c r="D319" s="67"/>
      <c r="E319" s="67"/>
    </row>
    <row r="320" spans="1:5" ht="14.25">
      <c r="A320" s="67"/>
      <c r="B320" s="67"/>
      <c r="C320" s="67"/>
      <c r="D320" s="67"/>
      <c r="E320" s="67"/>
    </row>
    <row r="321" spans="1:5" ht="15" customHeight="1">
      <c r="A321" s="67"/>
      <c r="B321" s="67"/>
      <c r="C321" s="67"/>
      <c r="D321" s="67"/>
      <c r="E321" s="67"/>
    </row>
    <row r="322" spans="1:5" ht="15" customHeight="1">
      <c r="A322" s="67"/>
      <c r="B322" s="67"/>
      <c r="C322" s="67"/>
      <c r="D322" s="67"/>
      <c r="E322" s="67"/>
    </row>
    <row r="323" spans="1:5" ht="16.5" customHeight="1">
      <c r="A323" s="67"/>
      <c r="B323" s="67"/>
      <c r="C323" s="67"/>
      <c r="D323" s="67"/>
      <c r="E323" s="67"/>
    </row>
    <row r="324" spans="1:5" ht="15" customHeight="1">
      <c r="A324" s="67"/>
      <c r="B324" s="67"/>
      <c r="C324" s="67"/>
      <c r="D324" s="67"/>
      <c r="E324" s="67"/>
    </row>
    <row r="325" spans="1:5" ht="14.25">
      <c r="A325" s="67"/>
      <c r="B325" s="67"/>
      <c r="C325" s="67"/>
      <c r="D325" s="67"/>
      <c r="E325" s="67"/>
    </row>
    <row r="326" spans="1:5" ht="14.25">
      <c r="A326" s="67"/>
      <c r="B326" s="67"/>
      <c r="C326" s="67"/>
      <c r="D326" s="67"/>
      <c r="E326" s="67"/>
    </row>
    <row r="327" spans="1:5" ht="14.25">
      <c r="A327" s="67"/>
      <c r="B327" s="67"/>
      <c r="C327" s="67"/>
      <c r="D327" s="67"/>
      <c r="E327" s="67"/>
    </row>
    <row r="328" spans="1:5" ht="14.25">
      <c r="A328" s="67"/>
      <c r="B328" s="67"/>
      <c r="C328" s="67"/>
      <c r="D328" s="67"/>
      <c r="E328" s="67"/>
    </row>
    <row r="329" spans="1:5" ht="14.25">
      <c r="A329" s="67"/>
      <c r="B329" s="67"/>
      <c r="C329" s="67"/>
      <c r="D329" s="67"/>
      <c r="E329" s="67"/>
    </row>
    <row r="330" spans="1:5" s="30" customFormat="1" ht="14.25">
      <c r="A330" s="67"/>
      <c r="B330" s="67"/>
      <c r="C330" s="67"/>
      <c r="D330" s="67"/>
      <c r="E330" s="67"/>
    </row>
    <row r="331" spans="1:5" ht="17.25" customHeight="1">
      <c r="A331" s="67"/>
      <c r="B331" s="67"/>
      <c r="C331" s="67"/>
      <c r="D331" s="67"/>
      <c r="E331" s="67"/>
    </row>
    <row r="332" spans="1:5" ht="30" customHeight="1">
      <c r="A332" s="67"/>
      <c r="B332" s="67"/>
      <c r="C332" s="67"/>
      <c r="D332" s="67"/>
      <c r="E332" s="67"/>
    </row>
    <row r="333" spans="1:5" ht="14.25">
      <c r="A333" s="67"/>
      <c r="B333" s="67"/>
      <c r="C333" s="67"/>
      <c r="D333" s="67"/>
      <c r="E333" s="67"/>
    </row>
    <row r="334" spans="1:5" ht="14.25">
      <c r="A334" s="67"/>
      <c r="B334" s="67"/>
      <c r="C334" s="67"/>
      <c r="D334" s="67"/>
      <c r="E334" s="67"/>
    </row>
    <row r="335" spans="1:5" ht="14.25">
      <c r="A335" s="67"/>
      <c r="B335" s="67"/>
      <c r="C335" s="67"/>
      <c r="D335" s="67"/>
      <c r="E335" s="67"/>
    </row>
    <row r="336" spans="1:5" ht="14.25">
      <c r="A336" s="67"/>
      <c r="B336" s="67"/>
      <c r="C336" s="67"/>
      <c r="D336" s="67"/>
      <c r="E336" s="67"/>
    </row>
    <row r="337" spans="1:5" ht="14.25">
      <c r="A337" s="67"/>
      <c r="B337" s="67"/>
      <c r="C337" s="67"/>
      <c r="D337" s="67"/>
      <c r="E337" s="67"/>
    </row>
    <row r="338" spans="1:5" ht="14.25">
      <c r="A338" s="67"/>
      <c r="B338" s="67"/>
      <c r="C338" s="67"/>
      <c r="D338" s="67"/>
      <c r="E338" s="67"/>
    </row>
    <row r="339" spans="1:5" ht="14.25">
      <c r="A339" s="67"/>
      <c r="B339" s="67"/>
      <c r="C339" s="67"/>
      <c r="D339" s="67"/>
      <c r="E339" s="67"/>
    </row>
    <row r="340" spans="1:5" ht="14.25">
      <c r="A340" s="67"/>
      <c r="B340" s="67"/>
      <c r="C340" s="67"/>
      <c r="D340" s="67"/>
      <c r="E340" s="67"/>
    </row>
    <row r="341" spans="1:5" ht="14.25">
      <c r="A341" s="67"/>
      <c r="B341" s="67"/>
      <c r="C341" s="67"/>
      <c r="D341" s="67"/>
      <c r="E341" s="67"/>
    </row>
    <row r="342" spans="1:5" ht="14.25">
      <c r="A342" s="67"/>
      <c r="B342" s="67"/>
      <c r="C342" s="67"/>
      <c r="D342" s="67"/>
      <c r="E342" s="67"/>
    </row>
    <row r="343" spans="1:5" ht="14.25">
      <c r="A343" s="67"/>
      <c r="B343" s="67"/>
      <c r="C343" s="67"/>
      <c r="D343" s="67"/>
      <c r="E343" s="67"/>
    </row>
    <row r="344" spans="1:5" ht="14.25">
      <c r="A344" s="67"/>
      <c r="B344" s="67"/>
      <c r="C344" s="67"/>
      <c r="D344" s="67"/>
      <c r="E344" s="67"/>
    </row>
    <row r="345" spans="1:5" ht="14.25">
      <c r="A345" s="67"/>
      <c r="B345" s="67"/>
      <c r="C345" s="67"/>
      <c r="D345" s="67"/>
      <c r="E345" s="67"/>
    </row>
    <row r="346" spans="1:5" ht="14.25">
      <c r="A346" s="67"/>
      <c r="B346" s="67"/>
      <c r="C346" s="67"/>
      <c r="D346" s="67"/>
      <c r="E346" s="67"/>
    </row>
    <row r="347" spans="1:5" ht="14.25">
      <c r="A347" s="67"/>
      <c r="B347" s="67"/>
      <c r="C347" s="67"/>
      <c r="D347" s="67"/>
      <c r="E347" s="67"/>
    </row>
    <row r="348" spans="1:5" s="2" customFormat="1" ht="12.75">
      <c r="A348" s="67"/>
      <c r="B348" s="67"/>
      <c r="C348" s="67"/>
      <c r="D348" s="67"/>
      <c r="E348" s="67"/>
    </row>
    <row r="349" spans="1:5" s="30" customFormat="1" ht="14.25">
      <c r="A349" s="67"/>
      <c r="B349" s="67"/>
      <c r="C349" s="67"/>
      <c r="D349" s="67"/>
      <c r="E349" s="67"/>
    </row>
    <row r="350" spans="1:5" ht="14.25">
      <c r="A350" s="67"/>
      <c r="B350" s="67"/>
      <c r="C350" s="67"/>
      <c r="D350" s="67"/>
      <c r="E350" s="67"/>
    </row>
    <row r="351" spans="1:5" s="2" customFormat="1" ht="12.75">
      <c r="A351" s="67"/>
      <c r="B351" s="67"/>
      <c r="C351" s="67"/>
      <c r="D351" s="67"/>
      <c r="E351" s="67"/>
    </row>
    <row r="352" spans="1:5" s="2" customFormat="1" ht="12.75">
      <c r="A352" s="67"/>
      <c r="B352" s="67"/>
      <c r="C352" s="67"/>
      <c r="D352" s="67"/>
      <c r="E352" s="67"/>
    </row>
    <row r="353" spans="1:5" ht="14.25">
      <c r="A353" s="67"/>
      <c r="B353" s="67"/>
      <c r="C353" s="67"/>
      <c r="D353" s="67"/>
      <c r="E353" s="67"/>
    </row>
    <row r="354" spans="1:5" s="2" customFormat="1" ht="12.75">
      <c r="A354" s="67"/>
      <c r="B354" s="67"/>
      <c r="C354" s="67"/>
      <c r="D354" s="67"/>
      <c r="E354" s="67"/>
    </row>
    <row r="355" spans="1:5" s="2" customFormat="1" ht="12.75" customHeight="1">
      <c r="A355" s="67"/>
      <c r="B355" s="67"/>
      <c r="C355" s="67"/>
      <c r="D355" s="67"/>
      <c r="E355" s="67"/>
    </row>
    <row r="356" spans="1:5" ht="14.25">
      <c r="A356" s="67"/>
      <c r="B356" s="67"/>
      <c r="C356" s="67"/>
      <c r="D356" s="67"/>
      <c r="E356" s="67"/>
    </row>
    <row r="357" spans="1:5" ht="14.25">
      <c r="A357" s="67"/>
      <c r="B357" s="67"/>
      <c r="C357" s="67"/>
      <c r="D357" s="67"/>
      <c r="E357" s="67"/>
    </row>
    <row r="358" spans="1:5" ht="14.25">
      <c r="A358" s="67"/>
      <c r="B358" s="67"/>
      <c r="C358" s="67"/>
      <c r="D358" s="67"/>
      <c r="E358" s="67"/>
    </row>
    <row r="359" spans="1:5" ht="14.25">
      <c r="A359" s="67"/>
      <c r="B359" s="67"/>
      <c r="C359" s="67"/>
      <c r="D359" s="67"/>
      <c r="E359" s="67"/>
    </row>
    <row r="360" spans="1:5" ht="14.25">
      <c r="A360" s="67"/>
      <c r="B360" s="67"/>
      <c r="C360" s="67"/>
      <c r="D360" s="67"/>
      <c r="E360" s="67"/>
    </row>
    <row r="361" spans="1:5" ht="14.25">
      <c r="A361" s="67"/>
      <c r="B361" s="67"/>
      <c r="C361" s="67"/>
      <c r="D361" s="67"/>
      <c r="E361" s="67"/>
    </row>
    <row r="362" spans="1:5" ht="14.25">
      <c r="A362" s="67"/>
      <c r="B362" s="67"/>
      <c r="C362" s="67"/>
      <c r="D362" s="67"/>
      <c r="E362" s="67"/>
    </row>
    <row r="363" spans="1:5" ht="14.25">
      <c r="A363" s="67"/>
      <c r="B363" s="67"/>
      <c r="C363" s="67"/>
      <c r="D363" s="67"/>
      <c r="E363" s="67"/>
    </row>
    <row r="364" spans="1:5" ht="14.25">
      <c r="A364" s="67"/>
      <c r="B364" s="67"/>
      <c r="C364" s="67"/>
      <c r="D364" s="67"/>
      <c r="E364" s="67"/>
    </row>
    <row r="365" spans="1:5" ht="14.25">
      <c r="A365" s="67"/>
      <c r="B365" s="67"/>
      <c r="C365" s="67"/>
      <c r="D365" s="67"/>
      <c r="E365" s="67"/>
    </row>
    <row r="366" spans="1:5" ht="14.25">
      <c r="A366" s="67"/>
      <c r="B366" s="67"/>
      <c r="C366" s="67"/>
      <c r="D366" s="67"/>
      <c r="E366" s="67"/>
    </row>
    <row r="367" spans="1:5" ht="14.25">
      <c r="A367" s="67"/>
      <c r="B367" s="67"/>
      <c r="C367" s="67"/>
      <c r="D367" s="67"/>
      <c r="E367" s="67"/>
    </row>
    <row r="368" spans="1:5" ht="14.25">
      <c r="A368" s="67"/>
      <c r="B368" s="67"/>
      <c r="C368" s="67"/>
      <c r="D368" s="67"/>
      <c r="E368" s="67"/>
    </row>
    <row r="369" spans="1:5" ht="14.25">
      <c r="A369" s="67"/>
      <c r="B369" s="67"/>
      <c r="C369" s="67"/>
      <c r="D369" s="67"/>
      <c r="E369" s="67"/>
    </row>
    <row r="370" spans="1:5" ht="14.25">
      <c r="A370" s="67"/>
      <c r="B370" s="67"/>
      <c r="C370" s="67"/>
      <c r="D370" s="67"/>
      <c r="E370" s="67"/>
    </row>
    <row r="371" spans="1:5" ht="14.25">
      <c r="A371" s="67"/>
      <c r="B371" s="67"/>
      <c r="C371" s="67"/>
      <c r="D371" s="67"/>
      <c r="E371" s="67"/>
    </row>
    <row r="372" spans="1:5" ht="14.25">
      <c r="A372" s="67"/>
      <c r="B372" s="67"/>
      <c r="C372" s="67"/>
      <c r="D372" s="67"/>
      <c r="E372" s="67"/>
    </row>
    <row r="373" spans="1:5" ht="14.25">
      <c r="A373" s="67"/>
      <c r="B373" s="67"/>
      <c r="C373" s="67"/>
      <c r="D373" s="67"/>
      <c r="E373" s="67"/>
    </row>
    <row r="374" spans="1:5" ht="14.25">
      <c r="A374" s="67"/>
      <c r="B374" s="67"/>
      <c r="C374" s="67"/>
      <c r="D374" s="67"/>
      <c r="E374" s="67"/>
    </row>
    <row r="375" spans="1:5" ht="14.25">
      <c r="A375" s="67"/>
      <c r="B375" s="67"/>
      <c r="C375" s="67"/>
      <c r="D375" s="67"/>
      <c r="E375" s="67"/>
    </row>
    <row r="376" spans="1:5" ht="14.25">
      <c r="A376" s="67"/>
      <c r="B376" s="67"/>
      <c r="C376" s="67"/>
      <c r="D376" s="67"/>
      <c r="E376" s="67"/>
    </row>
    <row r="377" spans="1:5" ht="14.25">
      <c r="A377" s="67"/>
      <c r="B377" s="67"/>
      <c r="C377" s="67"/>
      <c r="D377" s="67"/>
      <c r="E377" s="67"/>
    </row>
    <row r="378" spans="1:5" ht="14.25">
      <c r="A378" s="67"/>
      <c r="B378" s="67"/>
      <c r="C378" s="67"/>
      <c r="D378" s="67"/>
      <c r="E378" s="67"/>
    </row>
    <row r="379" spans="1:5" ht="14.25">
      <c r="A379" s="67"/>
      <c r="B379" s="67"/>
      <c r="C379" s="67"/>
      <c r="D379" s="67"/>
      <c r="E379" s="67"/>
    </row>
    <row r="380" spans="1:5" ht="14.25">
      <c r="A380" s="67"/>
      <c r="B380" s="67"/>
      <c r="C380" s="67"/>
      <c r="D380" s="67"/>
      <c r="E380" s="67"/>
    </row>
    <row r="381" spans="1:5" ht="14.25">
      <c r="A381" s="67"/>
      <c r="B381" s="67"/>
      <c r="C381" s="67"/>
      <c r="D381" s="67"/>
      <c r="E381" s="67"/>
    </row>
    <row r="382" spans="1:5" ht="14.25">
      <c r="A382" s="67"/>
      <c r="B382" s="67"/>
      <c r="C382" s="67"/>
      <c r="D382" s="67"/>
      <c r="E382" s="67"/>
    </row>
    <row r="383" spans="1:5" ht="14.25">
      <c r="A383" s="67"/>
      <c r="B383" s="67"/>
      <c r="C383" s="67"/>
      <c r="D383" s="67"/>
      <c r="E383" s="67"/>
    </row>
    <row r="384" spans="1:5" ht="30" customHeight="1">
      <c r="A384" s="67"/>
      <c r="B384" s="67"/>
      <c r="C384" s="67"/>
      <c r="D384" s="67"/>
      <c r="E384" s="67"/>
    </row>
    <row r="385" spans="1:5" ht="27.75" customHeight="1">
      <c r="A385" s="67"/>
      <c r="B385" s="67"/>
      <c r="C385" s="67"/>
      <c r="D385" s="67"/>
      <c r="E385" s="67"/>
    </row>
    <row r="386" spans="1:5" ht="27.75" customHeight="1">
      <c r="A386" s="67"/>
      <c r="B386" s="67"/>
      <c r="C386" s="67"/>
      <c r="D386" s="67"/>
      <c r="E386" s="67"/>
    </row>
    <row r="387" spans="1:5" ht="14.25">
      <c r="A387" s="67"/>
      <c r="B387" s="67"/>
      <c r="C387" s="67"/>
      <c r="D387" s="67"/>
      <c r="E387" s="67"/>
    </row>
    <row r="388" spans="1:5" ht="14.25">
      <c r="A388" s="67"/>
      <c r="B388" s="67"/>
      <c r="C388" s="67"/>
      <c r="D388" s="67"/>
      <c r="E388" s="67"/>
    </row>
    <row r="389" spans="1:5" ht="14.25">
      <c r="A389" s="67"/>
      <c r="B389" s="67"/>
      <c r="C389" s="67"/>
      <c r="D389" s="67"/>
      <c r="E389" s="67"/>
    </row>
    <row r="390" spans="1:5" ht="14.25">
      <c r="A390" s="67"/>
      <c r="B390" s="67"/>
      <c r="C390" s="67"/>
      <c r="D390" s="67"/>
      <c r="E390" s="67"/>
    </row>
    <row r="391" spans="1:5" ht="14.25">
      <c r="A391" s="67"/>
      <c r="B391" s="67"/>
      <c r="C391" s="67"/>
      <c r="D391" s="67"/>
      <c r="E391" s="67"/>
    </row>
    <row r="392" spans="1:5" ht="14.25">
      <c r="A392" s="67"/>
      <c r="B392" s="67"/>
      <c r="C392" s="67"/>
      <c r="D392" s="67"/>
      <c r="E392" s="67"/>
    </row>
    <row r="393" spans="1:5" ht="14.25">
      <c r="A393" s="67"/>
      <c r="B393" s="67"/>
      <c r="C393" s="67"/>
      <c r="D393" s="67"/>
      <c r="E393" s="67"/>
    </row>
    <row r="394" spans="1:5" ht="14.25">
      <c r="A394" s="67"/>
      <c r="B394" s="67"/>
      <c r="C394" s="67"/>
      <c r="D394" s="67"/>
      <c r="E394" s="67"/>
    </row>
    <row r="395" spans="1:5" ht="14.25">
      <c r="A395" s="67"/>
      <c r="B395" s="67"/>
      <c r="C395" s="67"/>
      <c r="D395" s="67"/>
      <c r="E395" s="67"/>
    </row>
    <row r="396" spans="1:5" s="30" customFormat="1" ht="14.25">
      <c r="A396" s="67"/>
      <c r="B396" s="67"/>
      <c r="C396" s="67"/>
      <c r="D396" s="67"/>
      <c r="E396" s="67"/>
    </row>
    <row r="397" spans="1:5" ht="14.25">
      <c r="A397" s="67"/>
      <c r="B397" s="67"/>
      <c r="C397" s="67"/>
      <c r="D397" s="67"/>
      <c r="E397" s="67"/>
    </row>
    <row r="398" spans="1:5" ht="14.25">
      <c r="A398" s="67"/>
      <c r="B398" s="67"/>
      <c r="C398" s="67"/>
      <c r="D398" s="67"/>
      <c r="E398" s="67"/>
    </row>
    <row r="399" spans="1:5" ht="14.25">
      <c r="A399" s="67"/>
      <c r="B399" s="67"/>
      <c r="C399" s="67"/>
      <c r="D399" s="67"/>
      <c r="E399" s="67"/>
    </row>
    <row r="400" spans="1:5" ht="14.25">
      <c r="A400" s="67"/>
      <c r="B400" s="67"/>
      <c r="C400" s="67"/>
      <c r="D400" s="67"/>
      <c r="E400" s="67"/>
    </row>
    <row r="401" spans="1:5" ht="14.25">
      <c r="A401" s="67"/>
      <c r="B401" s="67"/>
      <c r="C401" s="67"/>
      <c r="D401" s="67"/>
      <c r="E401" s="67"/>
    </row>
    <row r="402" spans="1:5" ht="14.25">
      <c r="A402" s="67"/>
      <c r="B402" s="67"/>
      <c r="C402" s="67"/>
      <c r="D402" s="67"/>
      <c r="E402" s="67"/>
    </row>
    <row r="403" spans="1:5" ht="14.25">
      <c r="A403" s="67"/>
      <c r="B403" s="67"/>
      <c r="C403" s="67"/>
      <c r="D403" s="67"/>
      <c r="E403" s="67"/>
    </row>
    <row r="404" spans="1:5" ht="14.25">
      <c r="A404" s="67"/>
      <c r="B404" s="67"/>
      <c r="C404" s="67"/>
      <c r="D404" s="67"/>
      <c r="E404" s="67"/>
    </row>
    <row r="405" spans="1:5" ht="14.25">
      <c r="A405" s="67"/>
      <c r="B405" s="67"/>
      <c r="C405" s="67"/>
      <c r="D405" s="67"/>
      <c r="E405" s="67"/>
    </row>
    <row r="406" spans="1:5" ht="14.25">
      <c r="A406" s="67"/>
      <c r="B406" s="67"/>
      <c r="C406" s="67"/>
      <c r="D406" s="67"/>
      <c r="E406" s="67"/>
    </row>
    <row r="407" spans="1:5" ht="14.25">
      <c r="A407" s="67"/>
      <c r="B407" s="67"/>
      <c r="C407" s="67"/>
      <c r="D407" s="67"/>
      <c r="E407" s="67"/>
    </row>
    <row r="408" spans="1:5" ht="14.25">
      <c r="A408" s="67"/>
      <c r="B408" s="67"/>
      <c r="C408" s="67"/>
      <c r="D408" s="67"/>
      <c r="E408" s="67"/>
    </row>
    <row r="409" spans="1:5" ht="14.25">
      <c r="A409" s="67"/>
      <c r="B409" s="67"/>
      <c r="C409" s="67"/>
      <c r="D409" s="67"/>
      <c r="E409" s="67"/>
    </row>
    <row r="410" spans="1:5" ht="14.25">
      <c r="A410" s="67"/>
      <c r="B410" s="67"/>
      <c r="C410" s="67"/>
      <c r="D410" s="67"/>
      <c r="E410" s="67"/>
    </row>
    <row r="411" spans="1:5" ht="14.25">
      <c r="A411" s="67"/>
      <c r="B411" s="67"/>
      <c r="C411" s="67"/>
      <c r="D411" s="67"/>
      <c r="E411" s="67"/>
    </row>
    <row r="412" spans="1:5" ht="14.25">
      <c r="A412" s="67"/>
      <c r="B412" s="67"/>
      <c r="C412" s="67"/>
      <c r="D412" s="67"/>
      <c r="E412" s="67"/>
    </row>
    <row r="413" spans="1:5" ht="14.25">
      <c r="A413" s="67"/>
      <c r="B413" s="67"/>
      <c r="C413" s="67"/>
      <c r="D413" s="67"/>
      <c r="E413" s="67"/>
    </row>
    <row r="414" spans="1:5" ht="14.25">
      <c r="A414" s="67"/>
      <c r="B414" s="67"/>
      <c r="C414" s="67"/>
      <c r="D414" s="67"/>
      <c r="E414" s="67"/>
    </row>
    <row r="415" spans="1:5" ht="14.25">
      <c r="A415" s="67"/>
      <c r="B415" s="67"/>
      <c r="C415" s="67"/>
      <c r="D415" s="67"/>
      <c r="E415" s="67"/>
    </row>
    <row r="416" spans="1:5" ht="14.25">
      <c r="A416" s="67"/>
      <c r="B416" s="67"/>
      <c r="C416" s="67"/>
      <c r="D416" s="67"/>
      <c r="E416" s="67"/>
    </row>
    <row r="417" spans="1:5" ht="14.25">
      <c r="A417" s="67"/>
      <c r="B417" s="67"/>
      <c r="C417" s="67"/>
      <c r="D417" s="67"/>
      <c r="E417" s="67"/>
    </row>
    <row r="418" spans="1:5" ht="14.25">
      <c r="A418" s="67"/>
      <c r="B418" s="67"/>
      <c r="C418" s="67"/>
      <c r="D418" s="67"/>
      <c r="E418" s="67"/>
    </row>
    <row r="419" spans="1:5" ht="14.25">
      <c r="A419" s="67"/>
      <c r="B419" s="67"/>
      <c r="C419" s="67"/>
      <c r="D419" s="67"/>
      <c r="E419" s="67"/>
    </row>
    <row r="420" spans="1:5" ht="14.25">
      <c r="A420" s="67"/>
      <c r="B420" s="67"/>
      <c r="C420" s="67"/>
      <c r="D420" s="67"/>
      <c r="E420" s="67"/>
    </row>
    <row r="421" spans="1:5" ht="14.25">
      <c r="A421" s="67"/>
      <c r="B421" s="67"/>
      <c r="C421" s="67"/>
      <c r="D421" s="67"/>
      <c r="E421" s="67"/>
    </row>
    <row r="422" spans="1:5" ht="14.25">
      <c r="A422" s="67"/>
      <c r="B422" s="67"/>
      <c r="C422" s="67"/>
      <c r="D422" s="67"/>
      <c r="E422" s="67"/>
    </row>
    <row r="423" spans="1:5" ht="14.25">
      <c r="A423" s="67"/>
      <c r="B423" s="67"/>
      <c r="C423" s="67"/>
      <c r="D423" s="67"/>
      <c r="E423" s="67"/>
    </row>
    <row r="424" spans="1:5" ht="14.25">
      <c r="A424" s="67"/>
      <c r="B424" s="67"/>
      <c r="C424" s="67"/>
      <c r="D424" s="67"/>
      <c r="E424" s="67"/>
    </row>
    <row r="425" spans="1:5" ht="14.25">
      <c r="A425" s="67"/>
      <c r="B425" s="67"/>
      <c r="C425" s="67"/>
      <c r="D425" s="67"/>
      <c r="E425" s="67"/>
    </row>
    <row r="426" spans="1:5" ht="14.25">
      <c r="A426" s="67"/>
      <c r="B426" s="67"/>
      <c r="C426" s="67"/>
      <c r="D426" s="67"/>
      <c r="E426" s="67"/>
    </row>
    <row r="427" spans="1:5" ht="14.25">
      <c r="A427" s="67"/>
      <c r="B427" s="67"/>
      <c r="C427" s="67"/>
      <c r="D427" s="67"/>
      <c r="E427" s="67"/>
    </row>
    <row r="428" spans="1:5" ht="14.25">
      <c r="A428" s="67"/>
      <c r="B428" s="67"/>
      <c r="C428" s="67"/>
      <c r="D428" s="67"/>
      <c r="E428" s="67"/>
    </row>
    <row r="429" spans="1:5" ht="14.25">
      <c r="A429" s="67"/>
      <c r="B429" s="67"/>
      <c r="C429" s="67"/>
      <c r="D429" s="67"/>
      <c r="E429" s="67"/>
    </row>
    <row r="430" spans="1:5" ht="14.25">
      <c r="A430" s="67"/>
      <c r="B430" s="67"/>
      <c r="C430" s="67"/>
      <c r="D430" s="67"/>
      <c r="E430" s="67"/>
    </row>
    <row r="431" spans="1:5" ht="14.25">
      <c r="A431" s="67"/>
      <c r="B431" s="67"/>
      <c r="C431" s="67"/>
      <c r="D431" s="67"/>
      <c r="E431" s="67"/>
    </row>
    <row r="432" spans="1:5" ht="14.25">
      <c r="A432" s="67"/>
      <c r="B432" s="67"/>
      <c r="C432" s="67"/>
      <c r="D432" s="67"/>
      <c r="E432" s="67"/>
    </row>
    <row r="433" spans="1:5" ht="14.25">
      <c r="A433" s="67"/>
      <c r="B433" s="67"/>
      <c r="C433" s="67"/>
      <c r="D433" s="67"/>
      <c r="E433" s="67"/>
    </row>
    <row r="434" spans="1:5" ht="14.25">
      <c r="A434" s="67"/>
      <c r="B434" s="67"/>
      <c r="C434" s="67"/>
      <c r="D434" s="67"/>
      <c r="E434" s="67"/>
    </row>
    <row r="435" spans="1:5" ht="14.25">
      <c r="A435" s="67"/>
      <c r="B435" s="67"/>
      <c r="C435" s="67"/>
      <c r="D435" s="67"/>
      <c r="E435" s="67"/>
    </row>
    <row r="436" spans="1:5" ht="15" customHeight="1">
      <c r="A436" s="67"/>
      <c r="B436" s="67"/>
      <c r="C436" s="67"/>
      <c r="D436" s="67"/>
      <c r="E436" s="67"/>
    </row>
    <row r="437" spans="1:5" ht="15" customHeight="1">
      <c r="A437" s="67"/>
      <c r="B437" s="67"/>
      <c r="C437" s="67"/>
      <c r="D437" s="67"/>
      <c r="E437" s="67"/>
    </row>
    <row r="438" spans="1:5" ht="14.25">
      <c r="A438" s="67"/>
      <c r="B438" s="67"/>
      <c r="C438" s="67"/>
      <c r="D438" s="67"/>
      <c r="E438" s="67"/>
    </row>
    <row r="439" spans="1:5" ht="15" customHeight="1">
      <c r="A439" s="67"/>
      <c r="B439" s="67"/>
      <c r="C439" s="67"/>
      <c r="D439" s="67"/>
      <c r="E439" s="67"/>
    </row>
    <row r="440" spans="1:5" ht="15" customHeight="1">
      <c r="A440" s="67"/>
      <c r="B440" s="67"/>
      <c r="C440" s="67"/>
      <c r="D440" s="67"/>
      <c r="E440" s="67"/>
    </row>
    <row r="441" spans="1:5" ht="14.25">
      <c r="A441" s="67"/>
      <c r="B441" s="67"/>
      <c r="C441" s="67"/>
      <c r="D441" s="67"/>
      <c r="E441" s="67"/>
    </row>
    <row r="442" spans="1:5" ht="16.5" customHeight="1">
      <c r="A442" s="67"/>
      <c r="B442" s="67"/>
      <c r="C442" s="67"/>
      <c r="D442" s="67"/>
      <c r="E442" s="67"/>
    </row>
    <row r="443" spans="1:5" ht="15" customHeight="1">
      <c r="A443" s="67"/>
      <c r="B443" s="67"/>
      <c r="C443" s="67"/>
      <c r="D443" s="67"/>
      <c r="E443" s="67"/>
    </row>
    <row r="444" spans="1:5" ht="14.25">
      <c r="A444" s="67"/>
      <c r="B444" s="67"/>
      <c r="C444" s="67"/>
      <c r="D444" s="67"/>
      <c r="E444" s="67"/>
    </row>
    <row r="445" spans="1:5" ht="14.25">
      <c r="A445" s="67"/>
      <c r="B445" s="67"/>
      <c r="C445" s="67"/>
      <c r="D445" s="67"/>
      <c r="E445" s="67"/>
    </row>
    <row r="446" spans="1:5" ht="14.25">
      <c r="A446" s="67"/>
      <c r="B446" s="67"/>
      <c r="C446" s="67"/>
      <c r="D446" s="67"/>
      <c r="E446" s="67"/>
    </row>
    <row r="447" spans="1:5" ht="14.25">
      <c r="A447" s="67"/>
      <c r="B447" s="67"/>
      <c r="C447" s="67"/>
      <c r="D447" s="67"/>
      <c r="E447" s="67"/>
    </row>
    <row r="448" spans="1:5" ht="45" customHeight="1">
      <c r="A448" s="67"/>
      <c r="B448" s="67"/>
      <c r="C448" s="67"/>
      <c r="D448" s="67"/>
      <c r="E448" s="67"/>
    </row>
    <row r="449" spans="1:5" s="30" customFormat="1" ht="45" customHeight="1">
      <c r="A449" s="67"/>
      <c r="B449" s="67"/>
      <c r="C449" s="67"/>
      <c r="D449" s="67"/>
      <c r="E449" s="67"/>
    </row>
    <row r="450" spans="1:5" ht="15" customHeight="1">
      <c r="A450" s="67"/>
      <c r="B450" s="67"/>
      <c r="C450" s="67"/>
      <c r="D450" s="67"/>
      <c r="E450" s="67"/>
    </row>
    <row r="451" spans="1:5" ht="15" customHeight="1">
      <c r="A451" s="67"/>
      <c r="B451" s="67"/>
      <c r="C451" s="67"/>
      <c r="D451" s="67"/>
      <c r="E451" s="67"/>
    </row>
    <row r="452" spans="1:5" ht="30" customHeight="1">
      <c r="A452" s="67"/>
      <c r="B452" s="67"/>
      <c r="C452" s="67"/>
      <c r="D452" s="67"/>
      <c r="E452" s="67"/>
    </row>
    <row r="453" spans="1:5" ht="14.25">
      <c r="A453" s="67"/>
      <c r="B453" s="67"/>
      <c r="C453" s="67"/>
      <c r="D453" s="67"/>
      <c r="E453" s="67"/>
    </row>
    <row r="454" spans="1:5" ht="30" customHeight="1">
      <c r="A454" s="67"/>
      <c r="B454" s="67"/>
      <c r="C454" s="67"/>
      <c r="D454" s="67"/>
      <c r="E454" s="67"/>
    </row>
    <row r="455" spans="1:5" ht="14.25">
      <c r="A455" s="67"/>
      <c r="B455" s="67"/>
      <c r="C455" s="67"/>
      <c r="D455" s="67"/>
      <c r="E455" s="67"/>
    </row>
    <row r="456" spans="1:5" s="30" customFormat="1" ht="15" customHeight="1">
      <c r="A456" s="67"/>
      <c r="B456" s="67"/>
      <c r="C456" s="67"/>
      <c r="D456" s="67"/>
      <c r="E456" s="67"/>
    </row>
    <row r="457" spans="1:5" ht="14.25">
      <c r="A457" s="67"/>
      <c r="B457" s="67"/>
      <c r="C457" s="67"/>
      <c r="D457" s="67"/>
      <c r="E457" s="67"/>
    </row>
    <row r="458" spans="1:5" ht="14.25">
      <c r="A458" s="67"/>
      <c r="B458" s="67"/>
      <c r="C458" s="67"/>
      <c r="D458" s="67"/>
      <c r="E458" s="67"/>
    </row>
    <row r="459" spans="1:5" ht="14.25">
      <c r="A459" s="67"/>
      <c r="B459" s="67"/>
      <c r="C459" s="67"/>
      <c r="D459" s="67"/>
      <c r="E459" s="67"/>
    </row>
    <row r="460" spans="1:5" s="2" customFormat="1" ht="12.75">
      <c r="A460" s="67"/>
      <c r="B460" s="67"/>
      <c r="C460" s="67"/>
      <c r="D460" s="67"/>
      <c r="E460" s="67"/>
    </row>
    <row r="461" spans="1:5" s="30" customFormat="1" ht="14.25">
      <c r="A461" s="67"/>
      <c r="B461" s="67"/>
      <c r="C461" s="67"/>
      <c r="D461" s="67"/>
      <c r="E461" s="67"/>
    </row>
    <row r="462" spans="1:5" ht="14.25">
      <c r="A462" s="67"/>
      <c r="B462" s="67"/>
      <c r="C462" s="67"/>
      <c r="D462" s="67"/>
      <c r="E462" s="67"/>
    </row>
    <row r="463" spans="1:5" s="2" customFormat="1" ht="12.75" customHeight="1">
      <c r="A463" s="67"/>
      <c r="B463" s="67"/>
      <c r="C463" s="67"/>
      <c r="D463" s="67"/>
      <c r="E463" s="67"/>
    </row>
    <row r="464" spans="1:5" ht="14.25">
      <c r="A464" s="67"/>
      <c r="B464" s="67"/>
      <c r="C464" s="67"/>
      <c r="D464" s="67"/>
      <c r="E464" s="67"/>
    </row>
    <row r="465" spans="1:5" s="2" customFormat="1" ht="12.75" customHeight="1">
      <c r="A465" s="67"/>
      <c r="B465" s="67"/>
      <c r="C465" s="67"/>
      <c r="D465" s="67"/>
      <c r="E465" s="67"/>
    </row>
    <row r="466" spans="1:5" ht="14.25">
      <c r="A466" s="67"/>
      <c r="B466" s="67"/>
      <c r="C466" s="67"/>
      <c r="D466" s="67"/>
      <c r="E466" s="67"/>
    </row>
    <row r="467" spans="1:5" ht="27.75" customHeight="1">
      <c r="A467" s="67"/>
      <c r="B467" s="67"/>
      <c r="C467" s="67"/>
      <c r="D467" s="67"/>
      <c r="E467" s="67"/>
    </row>
    <row r="468" spans="1:5" ht="14.25">
      <c r="A468" s="67"/>
      <c r="B468" s="67"/>
      <c r="C468" s="67"/>
      <c r="D468" s="67"/>
      <c r="E468" s="67"/>
    </row>
    <row r="469" spans="1:5" ht="14.25">
      <c r="A469" s="67"/>
      <c r="B469" s="67"/>
      <c r="C469" s="67"/>
      <c r="D469" s="67"/>
      <c r="E469" s="67"/>
    </row>
    <row r="470" spans="1:5" ht="14.25">
      <c r="A470" s="67"/>
      <c r="B470" s="67"/>
      <c r="C470" s="67"/>
      <c r="D470" s="67"/>
      <c r="E470" s="67"/>
    </row>
    <row r="471" spans="1:5" ht="14.25">
      <c r="A471" s="67"/>
      <c r="B471" s="67"/>
      <c r="C471" s="67"/>
      <c r="D471" s="67"/>
      <c r="E471" s="67"/>
    </row>
    <row r="472" spans="1:5" ht="14.25">
      <c r="A472" s="67"/>
      <c r="B472" s="67"/>
      <c r="C472" s="67"/>
      <c r="D472" s="67"/>
      <c r="E472" s="67"/>
    </row>
    <row r="473" spans="1:5" ht="14.25">
      <c r="A473" s="67"/>
      <c r="B473" s="67"/>
      <c r="C473" s="67"/>
      <c r="D473" s="67"/>
      <c r="E473" s="67"/>
    </row>
    <row r="474" spans="1:5" ht="14.25">
      <c r="A474" s="67"/>
      <c r="B474" s="67"/>
      <c r="C474" s="67"/>
      <c r="D474" s="67"/>
      <c r="E474" s="67"/>
    </row>
    <row r="475" spans="1:5" ht="14.25">
      <c r="A475" s="67"/>
      <c r="B475" s="67"/>
      <c r="C475" s="67"/>
      <c r="D475" s="67"/>
      <c r="E475" s="67"/>
    </row>
    <row r="476" spans="1:5" ht="14.25">
      <c r="A476" s="67"/>
      <c r="B476" s="67"/>
      <c r="C476" s="67"/>
      <c r="D476" s="67"/>
      <c r="E476" s="67"/>
    </row>
    <row r="477" spans="1:5" ht="14.25">
      <c r="A477" s="67"/>
      <c r="B477" s="67"/>
      <c r="C477" s="67"/>
      <c r="D477" s="67"/>
      <c r="E477" s="67"/>
    </row>
    <row r="478" spans="1:5" ht="14.25">
      <c r="A478" s="67"/>
      <c r="B478" s="67"/>
      <c r="C478" s="67"/>
      <c r="D478" s="67"/>
      <c r="E478" s="67"/>
    </row>
    <row r="479" spans="1:5" ht="14.25">
      <c r="A479" s="67"/>
      <c r="B479" s="67"/>
      <c r="C479" s="67"/>
      <c r="D479" s="67"/>
      <c r="E479" s="67"/>
    </row>
    <row r="480" spans="1:5" ht="14.25">
      <c r="A480" s="67"/>
      <c r="B480" s="67"/>
      <c r="C480" s="67"/>
      <c r="D480" s="67"/>
      <c r="E480" s="67"/>
    </row>
    <row r="481" spans="1:5" ht="14.25">
      <c r="A481" s="67"/>
      <c r="B481" s="67"/>
      <c r="C481" s="67"/>
      <c r="D481" s="67"/>
      <c r="E481" s="67"/>
    </row>
    <row r="482" spans="1:5" ht="14.25">
      <c r="A482" s="67"/>
      <c r="B482" s="67"/>
      <c r="C482" s="67"/>
      <c r="D482" s="67"/>
      <c r="E482" s="67"/>
    </row>
    <row r="483" spans="1:5" ht="14.25">
      <c r="A483" s="67"/>
      <c r="B483" s="67"/>
      <c r="C483" s="67"/>
      <c r="D483" s="67"/>
      <c r="E483" s="67"/>
    </row>
    <row r="484" spans="1:5" ht="14.25">
      <c r="A484" s="67"/>
      <c r="B484" s="67"/>
      <c r="C484" s="67"/>
      <c r="D484" s="67"/>
      <c r="E484" s="67"/>
    </row>
    <row r="485" spans="1:5" ht="14.25">
      <c r="A485" s="67"/>
      <c r="B485" s="67"/>
      <c r="C485" s="67"/>
      <c r="D485" s="67"/>
      <c r="E485" s="67"/>
    </row>
    <row r="486" spans="1:5" ht="14.25">
      <c r="A486" s="67"/>
      <c r="B486" s="67"/>
      <c r="C486" s="67"/>
      <c r="D486" s="67"/>
      <c r="E486" s="67"/>
    </row>
    <row r="487" spans="1:5" ht="14.25">
      <c r="A487" s="67"/>
      <c r="B487" s="67"/>
      <c r="C487" s="67"/>
      <c r="D487" s="67"/>
      <c r="E487" s="67"/>
    </row>
    <row r="488" spans="1:5" ht="14.25">
      <c r="A488" s="67"/>
      <c r="B488" s="67"/>
      <c r="C488" s="67"/>
      <c r="D488" s="67"/>
      <c r="E488" s="67"/>
    </row>
    <row r="489" spans="1:5" ht="14.25">
      <c r="A489" s="67"/>
      <c r="B489" s="67"/>
      <c r="C489" s="67"/>
      <c r="D489" s="67"/>
      <c r="E489" s="67"/>
    </row>
    <row r="490" spans="1:5" ht="14.25">
      <c r="A490" s="67"/>
      <c r="B490" s="67"/>
      <c r="C490" s="67"/>
      <c r="D490" s="67"/>
      <c r="E490" s="67"/>
    </row>
    <row r="491" spans="1:5" ht="14.25">
      <c r="A491" s="67"/>
      <c r="B491" s="67"/>
      <c r="C491" s="67"/>
      <c r="D491" s="67"/>
      <c r="E491" s="67"/>
    </row>
    <row r="492" spans="1:5" ht="14.25">
      <c r="A492" s="67"/>
      <c r="B492" s="67"/>
      <c r="C492" s="67"/>
      <c r="D492" s="67"/>
      <c r="E492" s="67"/>
    </row>
    <row r="493" spans="1:5" ht="15" customHeight="1">
      <c r="A493" s="67"/>
      <c r="B493" s="67"/>
      <c r="C493" s="67"/>
      <c r="D493" s="67"/>
      <c r="E493" s="67"/>
    </row>
    <row r="494" spans="1:5" ht="15" customHeight="1">
      <c r="A494" s="67"/>
      <c r="B494" s="67"/>
      <c r="C494" s="67"/>
      <c r="D494" s="67"/>
      <c r="E494" s="67"/>
    </row>
    <row r="495" spans="1:5" ht="14.25">
      <c r="A495" s="67"/>
      <c r="B495" s="67"/>
      <c r="C495" s="67"/>
      <c r="D495" s="67"/>
      <c r="E495" s="67"/>
    </row>
    <row r="496" spans="1:5" ht="15" customHeight="1">
      <c r="A496" s="67"/>
      <c r="B496" s="67"/>
      <c r="C496" s="67"/>
      <c r="D496" s="67"/>
      <c r="E496" s="67"/>
    </row>
    <row r="497" spans="1:5" ht="15" customHeight="1">
      <c r="A497" s="67"/>
      <c r="B497" s="67"/>
      <c r="C497" s="67"/>
      <c r="D497" s="67"/>
      <c r="E497" s="67"/>
    </row>
    <row r="498" spans="1:5" ht="14.25">
      <c r="A498" s="67"/>
      <c r="B498" s="67"/>
      <c r="C498" s="67"/>
      <c r="D498" s="67"/>
      <c r="E498" s="67"/>
    </row>
    <row r="499" spans="1:5" ht="16.5" customHeight="1">
      <c r="A499" s="67"/>
      <c r="B499" s="67"/>
      <c r="C499" s="67"/>
      <c r="D499" s="67"/>
      <c r="E499" s="67"/>
    </row>
    <row r="500" spans="1:5" ht="15" customHeight="1">
      <c r="A500" s="67"/>
      <c r="B500" s="67"/>
      <c r="C500" s="67"/>
      <c r="D500" s="67"/>
      <c r="E500" s="67"/>
    </row>
    <row r="501" spans="1:5" ht="14.25">
      <c r="A501" s="67"/>
      <c r="B501" s="67"/>
      <c r="C501" s="67"/>
      <c r="D501" s="67"/>
      <c r="E501" s="67"/>
    </row>
    <row r="502" spans="1:5" ht="14.25">
      <c r="A502" s="67"/>
      <c r="B502" s="67"/>
      <c r="C502" s="67"/>
      <c r="D502" s="67"/>
      <c r="E502" s="67"/>
    </row>
    <row r="503" spans="1:5" ht="14.25">
      <c r="A503" s="67"/>
      <c r="B503" s="67"/>
      <c r="C503" s="67"/>
      <c r="D503" s="67"/>
      <c r="E503" s="67"/>
    </row>
    <row r="504" spans="1:5" ht="14.25">
      <c r="A504" s="67"/>
      <c r="B504" s="67"/>
      <c r="C504" s="67"/>
      <c r="D504" s="67"/>
      <c r="E504" s="67"/>
    </row>
    <row r="505" spans="1:5" ht="45" customHeight="1">
      <c r="A505" s="67"/>
      <c r="B505" s="67"/>
      <c r="C505" s="67"/>
      <c r="D505" s="67"/>
      <c r="E505" s="67"/>
    </row>
    <row r="506" spans="1:5" s="30" customFormat="1" ht="45" customHeight="1">
      <c r="A506" s="67"/>
      <c r="B506" s="67"/>
      <c r="C506" s="67"/>
      <c r="D506" s="67"/>
      <c r="E506" s="67"/>
    </row>
    <row r="507" spans="1:5" ht="15" customHeight="1">
      <c r="A507" s="67"/>
      <c r="B507" s="67"/>
      <c r="C507" s="67"/>
      <c r="D507" s="67"/>
      <c r="E507" s="67"/>
    </row>
    <row r="508" spans="1:5" ht="30" customHeight="1">
      <c r="A508" s="67"/>
      <c r="B508" s="67"/>
      <c r="C508" s="67"/>
      <c r="D508" s="67"/>
      <c r="E508" s="67"/>
    </row>
    <row r="509" spans="1:5" ht="14.25">
      <c r="A509" s="67"/>
      <c r="B509" s="67"/>
      <c r="C509" s="67"/>
      <c r="D509" s="67"/>
      <c r="E509" s="67"/>
    </row>
    <row r="510" spans="1:5" ht="14.25">
      <c r="A510" s="67"/>
      <c r="B510" s="67"/>
      <c r="C510" s="67"/>
      <c r="D510" s="67"/>
      <c r="E510" s="67"/>
    </row>
    <row r="511" spans="1:5" s="30" customFormat="1" ht="15" customHeight="1">
      <c r="A511" s="67"/>
      <c r="B511" s="67"/>
      <c r="C511" s="67"/>
      <c r="D511" s="67"/>
      <c r="E511" s="67"/>
    </row>
    <row r="512" spans="1:5" ht="14.25">
      <c r="A512" s="67"/>
      <c r="B512" s="67"/>
      <c r="C512" s="67"/>
      <c r="D512" s="67"/>
      <c r="E512" s="67"/>
    </row>
    <row r="513" spans="1:5" s="30" customFormat="1" ht="14.25">
      <c r="A513" s="67"/>
      <c r="B513" s="67"/>
      <c r="C513" s="67"/>
      <c r="D513" s="67"/>
      <c r="E513" s="67"/>
    </row>
    <row r="514" spans="1:5" ht="14.25">
      <c r="A514" s="67"/>
      <c r="B514" s="67"/>
      <c r="C514" s="67"/>
      <c r="D514" s="67"/>
      <c r="E514" s="67"/>
    </row>
    <row r="515" spans="1:5" s="2" customFormat="1" ht="12.75">
      <c r="A515" s="67"/>
      <c r="B515" s="67"/>
      <c r="C515" s="67"/>
      <c r="D515" s="67"/>
      <c r="E515" s="67"/>
    </row>
    <row r="516" spans="1:5" s="2" customFormat="1" ht="12.75">
      <c r="A516" s="67"/>
      <c r="B516" s="67"/>
      <c r="C516" s="67"/>
      <c r="D516" s="67"/>
      <c r="E516" s="67"/>
    </row>
    <row r="517" spans="1:5" s="30" customFormat="1" ht="14.25">
      <c r="A517" s="67"/>
      <c r="B517" s="67"/>
      <c r="C517" s="67"/>
      <c r="D517" s="67"/>
      <c r="E517" s="67"/>
    </row>
    <row r="518" spans="1:5" ht="14.25">
      <c r="A518" s="67"/>
      <c r="B518" s="67"/>
      <c r="C518" s="67"/>
      <c r="D518" s="67"/>
      <c r="E518" s="67"/>
    </row>
    <row r="519" spans="1:5" s="2" customFormat="1" ht="12.75" customHeight="1">
      <c r="A519" s="67"/>
      <c r="B519" s="67"/>
      <c r="C519" s="67"/>
      <c r="D519" s="67"/>
      <c r="E519" s="67"/>
    </row>
    <row r="520" spans="1:5" s="2" customFormat="1" ht="12.75" customHeight="1">
      <c r="A520" s="67"/>
      <c r="B520" s="67"/>
      <c r="C520" s="67"/>
      <c r="D520" s="67"/>
      <c r="E520" s="67"/>
    </row>
    <row r="521" spans="1:5" ht="14.25">
      <c r="A521" s="67"/>
      <c r="B521" s="67"/>
      <c r="C521" s="67"/>
      <c r="D521" s="67"/>
      <c r="E521" s="67"/>
    </row>
    <row r="522" spans="1:5" s="2" customFormat="1" ht="12.75" customHeight="1">
      <c r="A522" s="67"/>
      <c r="B522" s="67"/>
      <c r="C522" s="67"/>
      <c r="D522" s="67"/>
      <c r="E522" s="67"/>
    </row>
    <row r="523" spans="1:5" ht="30" customHeight="1">
      <c r="A523" s="67"/>
      <c r="B523" s="67"/>
      <c r="C523" s="67"/>
      <c r="D523" s="67"/>
      <c r="E523" s="67"/>
    </row>
    <row r="524" spans="1:5" ht="14.25">
      <c r="A524" s="67"/>
      <c r="B524" s="67"/>
      <c r="C524" s="67"/>
      <c r="D524" s="67"/>
      <c r="E524" s="67"/>
    </row>
    <row r="525" spans="1:5" ht="14.25">
      <c r="A525" s="67"/>
      <c r="B525" s="67"/>
      <c r="C525" s="67"/>
      <c r="D525" s="67"/>
      <c r="E525" s="67"/>
    </row>
    <row r="526" spans="1:5" ht="14.25">
      <c r="A526" s="67"/>
      <c r="B526" s="67"/>
      <c r="C526" s="67"/>
      <c r="D526" s="67"/>
      <c r="E526" s="67"/>
    </row>
    <row r="527" spans="1:5" ht="14.25">
      <c r="A527" s="67"/>
      <c r="B527" s="67"/>
      <c r="C527" s="67"/>
      <c r="D527" s="67"/>
      <c r="E527" s="67"/>
    </row>
    <row r="528" spans="1:5" ht="14.25">
      <c r="A528" s="67"/>
      <c r="B528" s="67"/>
      <c r="C528" s="67"/>
      <c r="D528" s="67"/>
      <c r="E528" s="67"/>
    </row>
    <row r="529" spans="1:5" ht="14.25">
      <c r="A529" s="67"/>
      <c r="B529" s="67"/>
      <c r="C529" s="67"/>
      <c r="D529" s="67"/>
      <c r="E529" s="67"/>
    </row>
    <row r="530" spans="1:5" ht="14.25">
      <c r="A530" s="67"/>
      <c r="B530" s="67"/>
      <c r="C530" s="67"/>
      <c r="D530" s="67"/>
      <c r="E530" s="67"/>
    </row>
    <row r="531" spans="1:5" ht="14.25">
      <c r="A531" s="67"/>
      <c r="B531" s="67"/>
      <c r="C531" s="67"/>
      <c r="D531" s="67"/>
      <c r="E531" s="67"/>
    </row>
    <row r="532" spans="1:5" ht="14.25">
      <c r="A532" s="67"/>
      <c r="B532" s="67"/>
      <c r="C532" s="67"/>
      <c r="D532" s="67"/>
      <c r="E532" s="67"/>
    </row>
    <row r="533" spans="1:5" ht="14.25">
      <c r="A533" s="67"/>
      <c r="B533" s="67"/>
      <c r="C533" s="67"/>
      <c r="D533" s="67"/>
      <c r="E533" s="67"/>
    </row>
    <row r="534" spans="1:5" ht="14.25">
      <c r="A534" s="67"/>
      <c r="B534" s="67"/>
      <c r="C534" s="67"/>
      <c r="D534" s="67"/>
      <c r="E534" s="67"/>
    </row>
    <row r="535" spans="1:5" ht="14.25">
      <c r="A535" s="67"/>
      <c r="B535" s="67"/>
      <c r="C535" s="67"/>
      <c r="D535" s="67"/>
      <c r="E535" s="67"/>
    </row>
    <row r="536" spans="1:5" ht="14.25">
      <c r="A536" s="67"/>
      <c r="B536" s="67"/>
      <c r="C536" s="67"/>
      <c r="D536" s="67"/>
      <c r="E536" s="67"/>
    </row>
    <row r="537" spans="1:5" ht="14.25">
      <c r="A537" s="67"/>
      <c r="B537" s="67"/>
      <c r="C537" s="67"/>
      <c r="D537" s="67"/>
      <c r="E537" s="67"/>
    </row>
    <row r="538" spans="1:5" ht="14.25">
      <c r="A538" s="67"/>
      <c r="B538" s="67"/>
      <c r="C538" s="67"/>
      <c r="D538" s="67"/>
      <c r="E538" s="67"/>
    </row>
    <row r="539" spans="1:5" ht="14.25">
      <c r="A539" s="67"/>
      <c r="B539" s="67"/>
      <c r="C539" s="67"/>
      <c r="D539" s="67"/>
      <c r="E539" s="67"/>
    </row>
    <row r="540" spans="1:5" ht="14.25">
      <c r="A540" s="67"/>
      <c r="B540" s="67"/>
      <c r="C540" s="67"/>
      <c r="D540" s="67"/>
      <c r="E540" s="67"/>
    </row>
    <row r="541" spans="1:5" ht="14.25">
      <c r="A541" s="67"/>
      <c r="B541" s="67"/>
      <c r="C541" s="67"/>
      <c r="D541" s="67"/>
      <c r="E541" s="67"/>
    </row>
    <row r="542" spans="1:5" ht="14.25">
      <c r="A542" s="67"/>
      <c r="B542" s="67"/>
      <c r="C542" s="67"/>
      <c r="D542" s="67"/>
      <c r="E542" s="67"/>
    </row>
    <row r="543" spans="1:5" ht="14.25">
      <c r="A543" s="67"/>
      <c r="B543" s="67"/>
      <c r="C543" s="67"/>
      <c r="D543" s="67"/>
      <c r="E543" s="67"/>
    </row>
    <row r="544" spans="1:5" ht="14.25">
      <c r="A544" s="67"/>
      <c r="B544" s="67"/>
      <c r="C544" s="67"/>
      <c r="D544" s="67"/>
      <c r="E544" s="67"/>
    </row>
    <row r="545" spans="1:5" ht="14.25">
      <c r="A545" s="67"/>
      <c r="B545" s="67"/>
      <c r="C545" s="67"/>
      <c r="D545" s="67"/>
      <c r="E545" s="67"/>
    </row>
    <row r="546" spans="1:5" ht="14.25">
      <c r="A546" s="67"/>
      <c r="B546" s="67"/>
      <c r="C546" s="67"/>
      <c r="D546" s="67"/>
      <c r="E546" s="67"/>
    </row>
    <row r="547" spans="1:5" ht="14.25">
      <c r="A547" s="67"/>
      <c r="B547" s="67"/>
      <c r="C547" s="67"/>
      <c r="D547" s="67"/>
      <c r="E547" s="67"/>
    </row>
    <row r="548" spans="1:5" ht="15" customHeight="1">
      <c r="A548" s="67"/>
      <c r="B548" s="67"/>
      <c r="C548" s="67"/>
      <c r="D548" s="67"/>
      <c r="E548" s="67"/>
    </row>
    <row r="549" spans="1:5" ht="15" customHeight="1">
      <c r="A549" s="67"/>
      <c r="B549" s="67"/>
      <c r="C549" s="67"/>
      <c r="D549" s="67"/>
      <c r="E549" s="67"/>
    </row>
    <row r="550" spans="1:5" ht="14.25">
      <c r="A550" s="67"/>
      <c r="B550" s="67"/>
      <c r="C550" s="67"/>
      <c r="D550" s="67"/>
      <c r="E550" s="67"/>
    </row>
    <row r="551" spans="1:5" ht="15" customHeight="1">
      <c r="A551" s="67"/>
      <c r="B551" s="67"/>
      <c r="C551" s="67"/>
      <c r="D551" s="67"/>
      <c r="E551" s="67"/>
    </row>
    <row r="552" spans="1:5" ht="15" customHeight="1">
      <c r="A552" s="67"/>
      <c r="B552" s="67"/>
      <c r="C552" s="67"/>
      <c r="D552" s="67"/>
      <c r="E552" s="67"/>
    </row>
    <row r="553" spans="1:5" ht="14.25">
      <c r="A553" s="67"/>
      <c r="B553" s="67"/>
      <c r="C553" s="67"/>
      <c r="D553" s="67"/>
      <c r="E553" s="67"/>
    </row>
    <row r="554" spans="1:5" ht="15" customHeight="1">
      <c r="A554" s="67"/>
      <c r="B554" s="67"/>
      <c r="C554" s="67"/>
      <c r="D554" s="67"/>
      <c r="E554" s="67"/>
    </row>
    <row r="555" spans="1:5" ht="15" customHeight="1">
      <c r="A555" s="67"/>
      <c r="B555" s="67"/>
      <c r="C555" s="67"/>
      <c r="D555" s="67"/>
      <c r="E555" s="67"/>
    </row>
    <row r="556" spans="1:5" ht="14.25">
      <c r="A556" s="67"/>
      <c r="B556" s="67"/>
      <c r="C556" s="67"/>
      <c r="D556" s="67"/>
      <c r="E556" s="67"/>
    </row>
    <row r="557" spans="1:5" ht="15" customHeight="1">
      <c r="A557" s="67"/>
      <c r="B557" s="67"/>
      <c r="C557" s="67"/>
      <c r="D557" s="67"/>
      <c r="E557" s="67"/>
    </row>
    <row r="558" spans="1:5" ht="14.25">
      <c r="A558" s="67"/>
      <c r="B558" s="67"/>
      <c r="C558" s="67"/>
      <c r="D558" s="67"/>
      <c r="E558" s="67"/>
    </row>
    <row r="559" spans="1:5" ht="14.25">
      <c r="A559" s="67"/>
      <c r="B559" s="67"/>
      <c r="C559" s="67"/>
      <c r="D559" s="67"/>
      <c r="E559" s="67"/>
    </row>
    <row r="560" spans="1:5" ht="14.25">
      <c r="A560" s="67"/>
      <c r="B560" s="67"/>
      <c r="C560" s="67"/>
      <c r="D560" s="67"/>
      <c r="E560" s="67"/>
    </row>
    <row r="561" spans="1:5" ht="14.25">
      <c r="A561" s="67"/>
      <c r="B561" s="67"/>
      <c r="C561" s="67"/>
      <c r="D561" s="67"/>
      <c r="E561" s="67"/>
    </row>
    <row r="562" spans="1:5" s="30" customFormat="1" ht="14.25">
      <c r="A562" s="67"/>
      <c r="B562" s="67"/>
      <c r="C562" s="67"/>
      <c r="D562" s="67"/>
      <c r="E562" s="67"/>
    </row>
    <row r="563" spans="1:5" ht="14.25">
      <c r="A563" s="67"/>
      <c r="B563" s="67"/>
      <c r="C563" s="67"/>
      <c r="D563" s="67"/>
      <c r="E563" s="67"/>
    </row>
    <row r="564" spans="1:5" ht="14.25">
      <c r="A564" s="67"/>
      <c r="B564" s="67"/>
      <c r="C564" s="67"/>
      <c r="D564" s="67"/>
      <c r="E564" s="67"/>
    </row>
    <row r="565" spans="1:5" ht="14.25">
      <c r="A565" s="67"/>
      <c r="B565" s="67"/>
      <c r="C565" s="67"/>
      <c r="D565" s="67"/>
      <c r="E565" s="67"/>
    </row>
    <row r="566" spans="1:5" ht="14.25">
      <c r="A566" s="67"/>
      <c r="B566" s="67"/>
      <c r="C566" s="67"/>
      <c r="D566" s="67"/>
      <c r="E566" s="67"/>
    </row>
    <row r="567" spans="1:5" ht="14.25">
      <c r="A567" s="67"/>
      <c r="B567" s="67"/>
      <c r="C567" s="67"/>
      <c r="D567" s="67"/>
      <c r="E567" s="67"/>
    </row>
    <row r="568" spans="1:5" ht="14.25">
      <c r="A568" s="67"/>
      <c r="B568" s="67"/>
      <c r="C568" s="67"/>
      <c r="D568" s="67"/>
      <c r="E568" s="67"/>
    </row>
    <row r="569" spans="1:5" ht="14.25">
      <c r="A569" s="67"/>
      <c r="B569" s="67"/>
      <c r="C569" s="67"/>
      <c r="D569" s="67"/>
      <c r="E569" s="67"/>
    </row>
    <row r="570" spans="1:5" ht="14.25">
      <c r="A570" s="67"/>
      <c r="B570" s="67"/>
      <c r="C570" s="67"/>
      <c r="D570" s="67"/>
      <c r="E570" s="67"/>
    </row>
    <row r="571" spans="1:5" ht="14.25">
      <c r="A571" s="67"/>
      <c r="B571" s="67"/>
      <c r="C571" s="67"/>
      <c r="D571" s="67"/>
      <c r="E571" s="67"/>
    </row>
    <row r="572" spans="1:5" ht="15" customHeight="1">
      <c r="A572" s="67"/>
      <c r="B572" s="67"/>
      <c r="C572" s="67"/>
      <c r="D572" s="67"/>
      <c r="E572" s="67"/>
    </row>
    <row r="573" spans="1:5" ht="14.25">
      <c r="A573" s="67"/>
      <c r="B573" s="67"/>
      <c r="C573" s="67"/>
      <c r="D573" s="67"/>
      <c r="E573" s="67"/>
    </row>
    <row r="574" spans="1:5" ht="15" customHeight="1">
      <c r="A574" s="67"/>
      <c r="B574" s="67"/>
      <c r="C574" s="67"/>
      <c r="D574" s="67"/>
      <c r="E574" s="67"/>
    </row>
    <row r="575" spans="1:5" ht="14.25">
      <c r="A575" s="67"/>
      <c r="B575" s="67"/>
      <c r="C575" s="67"/>
      <c r="D575" s="67"/>
      <c r="E575" s="67"/>
    </row>
    <row r="576" spans="1:5" ht="14.25">
      <c r="A576" s="67"/>
      <c r="B576" s="67"/>
      <c r="C576" s="67"/>
      <c r="D576" s="67"/>
      <c r="E576" s="67"/>
    </row>
    <row r="577" spans="1:5" ht="14.25">
      <c r="A577" s="67"/>
      <c r="B577" s="67"/>
      <c r="C577" s="67"/>
      <c r="D577" s="67"/>
      <c r="E577" s="67"/>
    </row>
    <row r="578" spans="1:5" ht="14.25">
      <c r="A578" s="67"/>
      <c r="B578" s="67"/>
      <c r="C578" s="67"/>
      <c r="D578" s="67"/>
      <c r="E578" s="67"/>
    </row>
    <row r="579" spans="1:5" ht="14.25">
      <c r="A579" s="67"/>
      <c r="B579" s="67"/>
      <c r="C579" s="67"/>
      <c r="D579" s="67"/>
      <c r="E579" s="67"/>
    </row>
    <row r="580" spans="1:5" ht="14.25">
      <c r="A580" s="67"/>
      <c r="B580" s="67"/>
      <c r="C580" s="67"/>
      <c r="D580" s="67"/>
      <c r="E580" s="67"/>
    </row>
    <row r="581" spans="1:5" ht="14.25">
      <c r="A581" s="67"/>
      <c r="B581" s="67"/>
      <c r="C581" s="67"/>
      <c r="D581" s="67"/>
      <c r="E581" s="67"/>
    </row>
    <row r="582" spans="1:5" ht="14.25">
      <c r="A582" s="67"/>
      <c r="B582" s="67"/>
      <c r="C582" s="67"/>
      <c r="D582" s="67"/>
      <c r="E582" s="67"/>
    </row>
    <row r="583" spans="1:5" ht="14.25">
      <c r="A583" s="67"/>
      <c r="B583" s="67"/>
      <c r="C583" s="67"/>
      <c r="D583" s="67"/>
      <c r="E583" s="67"/>
    </row>
    <row r="584" spans="1:5" ht="14.25">
      <c r="A584" s="67"/>
      <c r="B584" s="67"/>
      <c r="C584" s="67"/>
      <c r="D584" s="67"/>
      <c r="E584" s="67"/>
    </row>
    <row r="585" spans="1:5" ht="14.25">
      <c r="A585" s="67"/>
      <c r="B585" s="67"/>
      <c r="C585" s="67"/>
      <c r="D585" s="67"/>
      <c r="E585" s="67"/>
    </row>
    <row r="586" spans="1:5" ht="14.25">
      <c r="A586" s="67"/>
      <c r="B586" s="67"/>
      <c r="C586" s="67"/>
      <c r="D586" s="67"/>
      <c r="E586" s="67"/>
    </row>
    <row r="587" spans="1:5" s="2" customFormat="1" ht="12.75">
      <c r="A587" s="67"/>
      <c r="B587" s="67"/>
      <c r="C587" s="67"/>
      <c r="D587" s="67"/>
      <c r="E587" s="67"/>
    </row>
    <row r="588" spans="1:5" s="30" customFormat="1" ht="14.25">
      <c r="A588" s="67"/>
      <c r="B588" s="67"/>
      <c r="C588" s="67"/>
      <c r="D588" s="67"/>
      <c r="E588" s="67"/>
    </row>
    <row r="589" spans="1:5" s="30" customFormat="1" ht="30" customHeight="1">
      <c r="A589" s="67"/>
      <c r="B589" s="67"/>
      <c r="C589" s="67"/>
      <c r="D589" s="67"/>
      <c r="E589" s="67"/>
    </row>
    <row r="590" spans="1:5" ht="14.25">
      <c r="A590" s="67"/>
      <c r="B590" s="67"/>
      <c r="C590" s="67"/>
      <c r="D590" s="67"/>
      <c r="E590" s="67"/>
    </row>
    <row r="591" spans="1:5" s="2" customFormat="1" ht="12.75">
      <c r="A591" s="67"/>
      <c r="B591" s="67"/>
      <c r="C591" s="67"/>
      <c r="D591" s="67"/>
      <c r="E591" s="67"/>
    </row>
    <row r="592" spans="1:5" s="2" customFormat="1" ht="12.75">
      <c r="A592" s="67"/>
      <c r="B592" s="67"/>
      <c r="C592" s="67"/>
      <c r="D592" s="67"/>
      <c r="E592" s="67"/>
    </row>
    <row r="593" spans="1:5" ht="14.25">
      <c r="A593" s="67"/>
      <c r="B593" s="67"/>
      <c r="C593" s="67"/>
      <c r="D593" s="67"/>
      <c r="E593" s="67"/>
    </row>
    <row r="594" spans="1:5" s="2" customFormat="1" ht="12.75">
      <c r="A594" s="67"/>
      <c r="B594" s="67"/>
      <c r="C594" s="67"/>
      <c r="D594" s="67"/>
      <c r="E594" s="67"/>
    </row>
    <row r="595" spans="1:5" s="2" customFormat="1" ht="12.75">
      <c r="A595" s="67"/>
      <c r="B595" s="67"/>
      <c r="C595" s="67"/>
      <c r="D595" s="67"/>
      <c r="E595" s="67"/>
    </row>
    <row r="596" spans="1:5" ht="14.25">
      <c r="A596" s="67"/>
      <c r="B596" s="67"/>
      <c r="C596" s="67"/>
      <c r="D596" s="67"/>
      <c r="E596" s="67"/>
    </row>
    <row r="597" spans="1:5" s="2" customFormat="1" ht="12.75">
      <c r="A597" s="67"/>
      <c r="B597" s="67"/>
      <c r="C597" s="67"/>
      <c r="D597" s="67"/>
      <c r="E597" s="67"/>
    </row>
    <row r="598" spans="1:5" ht="14.25">
      <c r="A598" s="67"/>
      <c r="B598" s="67"/>
      <c r="C598" s="67"/>
      <c r="D598" s="67"/>
      <c r="E598" s="67"/>
    </row>
    <row r="599" spans="1:5" ht="14.25">
      <c r="A599" s="67"/>
      <c r="B599" s="67"/>
      <c r="C599" s="67"/>
      <c r="D599" s="67"/>
      <c r="E599" s="67"/>
    </row>
    <row r="600" spans="1:5" ht="14.25">
      <c r="A600" s="67"/>
      <c r="B600" s="67"/>
      <c r="C600" s="67"/>
      <c r="D600" s="67"/>
      <c r="E600" s="67"/>
    </row>
    <row r="601" spans="1:5" ht="14.25">
      <c r="A601" s="67"/>
      <c r="B601" s="67"/>
      <c r="C601" s="67"/>
      <c r="D601" s="67"/>
      <c r="E601" s="67"/>
    </row>
    <row r="602" spans="1:5" s="30" customFormat="1" ht="14.25">
      <c r="A602" s="67"/>
      <c r="B602" s="67"/>
      <c r="C602" s="67"/>
      <c r="D602" s="67"/>
      <c r="E602" s="67"/>
    </row>
    <row r="603" spans="1:5" ht="14.25">
      <c r="A603" s="67"/>
      <c r="B603" s="67"/>
      <c r="C603" s="67"/>
      <c r="D603" s="67"/>
      <c r="E603" s="67"/>
    </row>
    <row r="604" spans="1:5" ht="14.25">
      <c r="A604" s="67"/>
      <c r="B604" s="67"/>
      <c r="C604" s="67"/>
      <c r="D604" s="67"/>
      <c r="E604" s="67"/>
    </row>
    <row r="605" spans="1:5" ht="14.25">
      <c r="A605" s="67"/>
      <c r="B605" s="67"/>
      <c r="C605" s="67"/>
      <c r="D605" s="67"/>
      <c r="E605" s="67"/>
    </row>
    <row r="606" spans="1:5" ht="14.25">
      <c r="A606" s="67"/>
      <c r="B606" s="67"/>
      <c r="C606" s="67"/>
      <c r="D606" s="67"/>
      <c r="E606" s="67"/>
    </row>
    <row r="607" spans="1:5" ht="14.25">
      <c r="A607" s="67"/>
      <c r="B607" s="67"/>
      <c r="C607" s="67"/>
      <c r="D607" s="67"/>
      <c r="E607" s="67"/>
    </row>
    <row r="608" spans="1:5" ht="14.25">
      <c r="A608" s="67"/>
      <c r="B608" s="67"/>
      <c r="C608" s="67"/>
      <c r="D608" s="67"/>
      <c r="E608" s="67"/>
    </row>
    <row r="609" spans="1:5" ht="14.25">
      <c r="A609" s="67"/>
      <c r="B609" s="67"/>
      <c r="C609" s="67"/>
      <c r="D609" s="67"/>
      <c r="E609" s="67"/>
    </row>
    <row r="610" spans="1:5" ht="14.25">
      <c r="A610" s="67"/>
      <c r="B610" s="67"/>
      <c r="C610" s="67"/>
      <c r="D610" s="67"/>
      <c r="E610" s="67"/>
    </row>
    <row r="611" spans="1:5" ht="14.25">
      <c r="A611" s="67"/>
      <c r="B611" s="67"/>
      <c r="C611" s="67"/>
      <c r="D611" s="67"/>
      <c r="E611" s="67"/>
    </row>
    <row r="612" spans="1:5" ht="14.25">
      <c r="A612" s="67"/>
      <c r="B612" s="67"/>
      <c r="C612" s="67"/>
      <c r="D612" s="67"/>
      <c r="E612" s="67"/>
    </row>
    <row r="613" spans="1:5" ht="14.25">
      <c r="A613" s="67"/>
      <c r="B613" s="67"/>
      <c r="C613" s="67"/>
      <c r="D613" s="67"/>
      <c r="E613" s="67"/>
    </row>
    <row r="614" spans="1:5" ht="14.25">
      <c r="A614" s="67"/>
      <c r="B614" s="67"/>
      <c r="C614" s="67"/>
      <c r="D614" s="67"/>
      <c r="E614" s="67"/>
    </row>
    <row r="615" spans="1:5" ht="14.25">
      <c r="A615" s="67"/>
      <c r="B615" s="67"/>
      <c r="C615" s="67"/>
      <c r="D615" s="67"/>
      <c r="E615" s="67"/>
    </row>
    <row r="616" spans="1:5" s="2" customFormat="1" ht="12.75" customHeight="1">
      <c r="A616" s="67"/>
      <c r="B616" s="67"/>
      <c r="C616" s="67"/>
      <c r="D616" s="67"/>
      <c r="E616" s="67"/>
    </row>
    <row r="617" spans="1:5" ht="14.25">
      <c r="A617" s="67"/>
      <c r="B617" s="67"/>
      <c r="C617" s="67"/>
      <c r="D617" s="67"/>
      <c r="E617" s="67"/>
    </row>
    <row r="618" spans="1:5" ht="14.25">
      <c r="A618" s="67"/>
      <c r="B618" s="67"/>
      <c r="C618" s="67"/>
      <c r="D618" s="67"/>
      <c r="E618" s="67"/>
    </row>
    <row r="619" spans="1:5" ht="14.25">
      <c r="A619" s="67"/>
      <c r="B619" s="67"/>
      <c r="C619" s="67"/>
      <c r="D619" s="67"/>
      <c r="E619" s="67"/>
    </row>
    <row r="620" spans="1:5" ht="14.25">
      <c r="A620" s="67"/>
      <c r="B620" s="67"/>
      <c r="C620" s="67"/>
      <c r="D620" s="67"/>
      <c r="E620" s="67"/>
    </row>
    <row r="621" spans="1:5" ht="14.25">
      <c r="A621" s="67"/>
      <c r="B621" s="67"/>
      <c r="C621" s="67"/>
      <c r="D621" s="67"/>
      <c r="E621" s="67"/>
    </row>
    <row r="622" spans="1:5" s="30" customFormat="1" ht="14.25">
      <c r="A622" s="67"/>
      <c r="B622" s="67"/>
      <c r="C622" s="67"/>
      <c r="D622" s="67"/>
      <c r="E622" s="67"/>
    </row>
    <row r="623" spans="1:5" ht="14.25">
      <c r="A623" s="67"/>
      <c r="B623" s="67"/>
      <c r="C623" s="67"/>
      <c r="D623" s="67"/>
      <c r="E623" s="67"/>
    </row>
    <row r="624" spans="1:5" ht="14.25">
      <c r="A624" s="67"/>
      <c r="B624" s="67"/>
      <c r="C624" s="67"/>
      <c r="D624" s="67"/>
      <c r="E624" s="67"/>
    </row>
    <row r="625" spans="1:5" ht="14.25">
      <c r="A625" s="67"/>
      <c r="B625" s="67"/>
      <c r="C625" s="67"/>
      <c r="D625" s="67"/>
      <c r="E625" s="67"/>
    </row>
    <row r="626" spans="1:5" ht="14.25">
      <c r="A626" s="67"/>
      <c r="B626" s="67"/>
      <c r="C626" s="67"/>
      <c r="D626" s="67"/>
      <c r="E626" s="67"/>
    </row>
    <row r="627" spans="1:5" ht="14.25">
      <c r="A627" s="67"/>
      <c r="B627" s="67"/>
      <c r="C627" s="67"/>
      <c r="D627" s="67"/>
      <c r="E627" s="67"/>
    </row>
    <row r="628" spans="1:5" ht="14.25">
      <c r="A628" s="67"/>
      <c r="B628" s="67"/>
      <c r="C628" s="67"/>
      <c r="D628" s="67"/>
      <c r="E628" s="67"/>
    </row>
    <row r="629" spans="1:5" ht="14.25">
      <c r="A629" s="67"/>
      <c r="B629" s="67"/>
      <c r="C629" s="67"/>
      <c r="D629" s="67"/>
      <c r="E629" s="67"/>
    </row>
    <row r="630" spans="1:5" ht="14.25">
      <c r="A630" s="67"/>
      <c r="B630" s="67"/>
      <c r="C630" s="67"/>
      <c r="D630" s="67"/>
      <c r="E630" s="67"/>
    </row>
    <row r="631" spans="1:5" ht="14.25">
      <c r="A631" s="67"/>
      <c r="B631" s="67"/>
      <c r="C631" s="67"/>
      <c r="D631" s="67"/>
      <c r="E631" s="67"/>
    </row>
    <row r="632" spans="1:5" ht="14.25">
      <c r="A632" s="67"/>
      <c r="B632" s="67"/>
      <c r="C632" s="67"/>
      <c r="D632" s="67"/>
      <c r="E632" s="67"/>
    </row>
    <row r="633" spans="1:5" ht="14.25">
      <c r="A633" s="67"/>
      <c r="B633" s="67"/>
      <c r="C633" s="67"/>
      <c r="D633" s="67"/>
      <c r="E633" s="67"/>
    </row>
    <row r="634" spans="1:5" ht="14.25">
      <c r="A634" s="67"/>
      <c r="B634" s="67"/>
      <c r="C634" s="67"/>
      <c r="D634" s="67"/>
      <c r="E634" s="67"/>
    </row>
    <row r="635" spans="1:5" ht="14.25">
      <c r="A635" s="67"/>
      <c r="B635" s="67"/>
      <c r="C635" s="67"/>
      <c r="D635" s="67"/>
      <c r="E635" s="67"/>
    </row>
    <row r="636" spans="1:5" ht="15" customHeight="1">
      <c r="A636" s="67"/>
      <c r="B636" s="67"/>
      <c r="C636" s="67"/>
      <c r="D636" s="67"/>
      <c r="E636" s="67"/>
    </row>
    <row r="637" spans="1:5" ht="14.25">
      <c r="A637" s="67"/>
      <c r="B637" s="67"/>
      <c r="C637" s="67"/>
      <c r="D637" s="67"/>
      <c r="E637" s="67"/>
    </row>
    <row r="638" spans="1:5" ht="14.25">
      <c r="A638" s="67"/>
      <c r="B638" s="67"/>
      <c r="C638" s="67"/>
      <c r="D638" s="67"/>
      <c r="E638" s="67"/>
    </row>
    <row r="639" spans="1:5" ht="14.25">
      <c r="A639" s="67"/>
      <c r="B639" s="67"/>
      <c r="C639" s="67"/>
      <c r="D639" s="67"/>
      <c r="E639" s="67"/>
    </row>
    <row r="640" spans="1:5" ht="15" customHeight="1">
      <c r="A640" s="67"/>
      <c r="B640" s="67"/>
      <c r="C640" s="67"/>
      <c r="D640" s="67"/>
      <c r="E640" s="67"/>
    </row>
    <row r="641" spans="1:5" ht="15" customHeight="1">
      <c r="A641" s="67"/>
      <c r="B641" s="67"/>
      <c r="C641" s="67"/>
      <c r="D641" s="67"/>
      <c r="E641" s="67"/>
    </row>
    <row r="642" spans="1:5" ht="14.25">
      <c r="A642" s="67"/>
      <c r="B642" s="67"/>
      <c r="C642" s="67"/>
      <c r="D642" s="67"/>
      <c r="E642" s="67"/>
    </row>
    <row r="643" spans="1:5" ht="15" customHeight="1">
      <c r="A643" s="67"/>
      <c r="B643" s="67"/>
      <c r="C643" s="67"/>
      <c r="D643" s="67"/>
      <c r="E643" s="67"/>
    </row>
    <row r="644" spans="1:5" ht="15" customHeight="1">
      <c r="A644" s="67"/>
      <c r="B644" s="67"/>
      <c r="C644" s="67"/>
      <c r="D644" s="67"/>
      <c r="E644" s="67"/>
    </row>
    <row r="645" spans="1:5" ht="14.25">
      <c r="A645" s="67"/>
      <c r="B645" s="67"/>
      <c r="C645" s="67"/>
      <c r="D645" s="67"/>
      <c r="E645" s="67"/>
    </row>
    <row r="646" spans="1:5" ht="15" customHeight="1">
      <c r="A646" s="67"/>
      <c r="B646" s="67"/>
      <c r="C646" s="67"/>
      <c r="D646" s="67"/>
      <c r="E646" s="67"/>
    </row>
    <row r="647" spans="1:5" ht="14.25">
      <c r="A647" s="67"/>
      <c r="B647" s="67"/>
      <c r="C647" s="67"/>
      <c r="D647" s="67"/>
      <c r="E647" s="67"/>
    </row>
    <row r="648" spans="1:5" ht="14.25">
      <c r="A648" s="67"/>
      <c r="B648" s="67"/>
      <c r="C648" s="67"/>
      <c r="D648" s="67"/>
      <c r="E648" s="67"/>
    </row>
    <row r="649" spans="1:5" ht="14.25">
      <c r="A649" s="67"/>
      <c r="B649" s="67"/>
      <c r="C649" s="67"/>
      <c r="D649" s="67"/>
      <c r="E649" s="67"/>
    </row>
    <row r="650" spans="1:5" ht="14.25">
      <c r="A650" s="67"/>
      <c r="B650" s="67"/>
      <c r="C650" s="67"/>
      <c r="D650" s="67"/>
      <c r="E650" s="67"/>
    </row>
    <row r="651" spans="1:5" ht="14.25">
      <c r="A651" s="67"/>
      <c r="B651" s="67"/>
      <c r="C651" s="67"/>
      <c r="D651" s="67"/>
      <c r="E651" s="67"/>
    </row>
    <row r="652" spans="1:5" ht="14.25">
      <c r="A652" s="67"/>
      <c r="B652" s="67"/>
      <c r="C652" s="67"/>
      <c r="D652" s="67"/>
      <c r="E652" s="67"/>
    </row>
    <row r="653" spans="1:5" ht="14.25">
      <c r="A653" s="67"/>
      <c r="B653" s="67"/>
      <c r="C653" s="67"/>
      <c r="D653" s="67"/>
      <c r="E653" s="67"/>
    </row>
    <row r="654" spans="1:5" ht="14.25">
      <c r="A654" s="67"/>
      <c r="B654" s="67"/>
      <c r="C654" s="67"/>
      <c r="D654" s="67"/>
      <c r="E654" s="67"/>
    </row>
    <row r="655" spans="1:5" ht="14.25">
      <c r="A655" s="67"/>
      <c r="B655" s="67"/>
      <c r="C655" s="67"/>
      <c r="D655" s="67"/>
      <c r="E655" s="67"/>
    </row>
    <row r="656" spans="1:5" ht="14.25">
      <c r="A656" s="67"/>
      <c r="B656" s="67"/>
      <c r="C656" s="67"/>
      <c r="D656" s="67"/>
      <c r="E656" s="67"/>
    </row>
    <row r="657" spans="1:5" ht="14.25">
      <c r="A657" s="67"/>
      <c r="B657" s="67"/>
      <c r="C657" s="67"/>
      <c r="D657" s="67"/>
      <c r="E657" s="67"/>
    </row>
    <row r="658" spans="1:5" ht="14.25">
      <c r="A658" s="67"/>
      <c r="B658" s="67"/>
      <c r="C658" s="67"/>
      <c r="D658" s="67"/>
      <c r="E658" s="67"/>
    </row>
    <row r="659" spans="1:5" ht="14.25">
      <c r="A659" s="67"/>
      <c r="B659" s="67"/>
      <c r="C659" s="67"/>
      <c r="D659" s="67"/>
      <c r="E659" s="67"/>
    </row>
    <row r="660" spans="1:5" ht="14.25">
      <c r="A660" s="67"/>
      <c r="B660" s="67"/>
      <c r="C660" s="67"/>
      <c r="D660" s="67"/>
      <c r="E660" s="67"/>
    </row>
    <row r="661" spans="1:5" ht="14.25">
      <c r="A661" s="67"/>
      <c r="B661" s="67"/>
      <c r="C661" s="67"/>
      <c r="D661" s="67"/>
      <c r="E661" s="67"/>
    </row>
    <row r="662" spans="1:5" s="2" customFormat="1" ht="12.75">
      <c r="A662" s="67"/>
      <c r="B662" s="67"/>
      <c r="C662" s="67"/>
      <c r="D662" s="67"/>
      <c r="E662" s="67"/>
    </row>
    <row r="663" spans="1:5" ht="14.25">
      <c r="A663" s="67"/>
      <c r="B663" s="67"/>
      <c r="C663" s="67"/>
      <c r="D663" s="67"/>
      <c r="E663" s="67"/>
    </row>
    <row r="664" spans="1:5" ht="14.25">
      <c r="A664" s="67"/>
      <c r="B664" s="67"/>
      <c r="C664" s="67"/>
      <c r="D664" s="67"/>
      <c r="E664" s="67"/>
    </row>
    <row r="665" spans="1:5" ht="14.25">
      <c r="A665" s="67"/>
      <c r="B665" s="67"/>
      <c r="C665" s="67"/>
      <c r="D665" s="67"/>
      <c r="E665" s="67"/>
    </row>
    <row r="666" spans="1:5" ht="14.25">
      <c r="A666" s="67"/>
      <c r="B666" s="67"/>
      <c r="C666" s="67"/>
      <c r="D666" s="67"/>
      <c r="E666" s="67"/>
    </row>
    <row r="667" spans="1:5" ht="14.25">
      <c r="A667" s="67"/>
      <c r="B667" s="67"/>
      <c r="C667" s="67"/>
      <c r="D667" s="67"/>
      <c r="E667" s="67"/>
    </row>
    <row r="668" spans="1:5" ht="14.25">
      <c r="A668" s="67"/>
      <c r="B668" s="67"/>
      <c r="C668" s="67"/>
      <c r="D668" s="67"/>
      <c r="E668" s="67"/>
    </row>
    <row r="669" spans="1:5" ht="14.25">
      <c r="A669" s="67"/>
      <c r="B669" s="67"/>
      <c r="C669" s="67"/>
      <c r="D669" s="67"/>
      <c r="E669" s="67"/>
    </row>
    <row r="670" spans="1:5" s="30" customFormat="1" ht="14.25">
      <c r="A670" s="67"/>
      <c r="B670" s="67"/>
      <c r="C670" s="67"/>
      <c r="D670" s="67"/>
      <c r="E670" s="67"/>
    </row>
    <row r="671" spans="1:5" s="30" customFormat="1" ht="14.25">
      <c r="A671" s="67"/>
      <c r="B671" s="67"/>
      <c r="C671" s="67"/>
      <c r="D671" s="67"/>
      <c r="E671" s="67"/>
    </row>
    <row r="672" spans="1:5" ht="14.25">
      <c r="A672" s="67"/>
      <c r="B672" s="67"/>
      <c r="C672" s="67"/>
      <c r="D672" s="67"/>
      <c r="E672" s="67"/>
    </row>
    <row r="673" spans="1:5" ht="14.25">
      <c r="A673" s="67"/>
      <c r="B673" s="67"/>
      <c r="C673" s="67"/>
      <c r="D673" s="67"/>
      <c r="E673" s="67"/>
    </row>
    <row r="674" spans="1:5" ht="14.25">
      <c r="A674" s="67"/>
      <c r="B674" s="67"/>
      <c r="C674" s="67"/>
      <c r="D674" s="67"/>
      <c r="E674" s="67"/>
    </row>
    <row r="675" spans="1:5" ht="14.25">
      <c r="A675" s="67"/>
      <c r="B675" s="67"/>
      <c r="C675" s="67"/>
      <c r="D675" s="67"/>
      <c r="E675" s="67"/>
    </row>
    <row r="676" spans="1:5" ht="14.25">
      <c r="A676" s="67"/>
      <c r="B676" s="67"/>
      <c r="C676" s="67"/>
      <c r="D676" s="67"/>
      <c r="E676" s="67"/>
    </row>
    <row r="677" spans="1:5" ht="14.25">
      <c r="A677" s="67"/>
      <c r="B677" s="67"/>
      <c r="C677" s="67"/>
      <c r="D677" s="67"/>
      <c r="E677" s="67"/>
    </row>
    <row r="678" spans="1:5" ht="14.25">
      <c r="A678" s="67"/>
      <c r="B678" s="67"/>
      <c r="C678" s="67"/>
      <c r="D678" s="67"/>
      <c r="E678" s="67"/>
    </row>
    <row r="679" spans="1:5" ht="14.25">
      <c r="A679" s="67"/>
      <c r="B679" s="67"/>
      <c r="C679" s="67"/>
      <c r="D679" s="67"/>
      <c r="E679" s="67"/>
    </row>
    <row r="680" spans="1:5" ht="14.25">
      <c r="A680" s="67"/>
      <c r="B680" s="67"/>
      <c r="C680" s="67"/>
      <c r="D680" s="67"/>
      <c r="E680" s="67"/>
    </row>
    <row r="681" spans="1:5" ht="14.25">
      <c r="A681" s="67"/>
      <c r="B681" s="67"/>
      <c r="C681" s="67"/>
      <c r="D681" s="67"/>
      <c r="E681" s="67"/>
    </row>
    <row r="682" spans="1:5" ht="15" customHeight="1">
      <c r="A682" s="67"/>
      <c r="B682" s="67"/>
      <c r="C682" s="67"/>
      <c r="D682" s="67"/>
      <c r="E682" s="67"/>
    </row>
    <row r="683" spans="1:5" ht="14.25">
      <c r="A683" s="67"/>
      <c r="B683" s="67"/>
      <c r="C683" s="67"/>
      <c r="D683" s="67"/>
      <c r="E683" s="67"/>
    </row>
    <row r="684" spans="1:5" ht="14.25">
      <c r="A684" s="67"/>
      <c r="B684" s="67"/>
      <c r="C684" s="67"/>
      <c r="D684" s="67"/>
      <c r="E684" s="67"/>
    </row>
    <row r="685" spans="1:5" ht="15" customHeight="1">
      <c r="A685" s="67"/>
      <c r="B685" s="67"/>
      <c r="C685" s="67"/>
      <c r="D685" s="67"/>
      <c r="E685" s="67"/>
    </row>
    <row r="686" spans="1:5" ht="14.25">
      <c r="A686" s="67"/>
      <c r="B686" s="67"/>
      <c r="C686" s="67"/>
      <c r="D686" s="67"/>
      <c r="E686" s="67"/>
    </row>
    <row r="687" spans="1:5" ht="14.25">
      <c r="A687" s="67"/>
      <c r="B687" s="67"/>
      <c r="C687" s="67"/>
      <c r="D687" s="67"/>
      <c r="E687" s="67"/>
    </row>
    <row r="688" spans="1:5" ht="14.25">
      <c r="A688" s="67"/>
      <c r="B688" s="67"/>
      <c r="C688" s="67"/>
      <c r="D688" s="67"/>
      <c r="E688" s="67"/>
    </row>
    <row r="689" spans="1:5" ht="14.25">
      <c r="A689" s="67"/>
      <c r="B689" s="67"/>
      <c r="C689" s="67"/>
      <c r="D689" s="67"/>
      <c r="E689" s="67"/>
    </row>
    <row r="690" spans="1:5" ht="15" customHeight="1">
      <c r="A690" s="67"/>
      <c r="B690" s="67"/>
      <c r="C690" s="67"/>
      <c r="D690" s="67"/>
      <c r="E690" s="67"/>
    </row>
    <row r="691" spans="1:5" ht="14.25">
      <c r="A691" s="67"/>
      <c r="B691" s="67"/>
      <c r="C691" s="67"/>
      <c r="D691" s="67"/>
      <c r="E691" s="67"/>
    </row>
    <row r="692" spans="1:5" s="30" customFormat="1" ht="14.25">
      <c r="A692" s="67"/>
      <c r="B692" s="67"/>
      <c r="C692" s="67"/>
      <c r="D692" s="67"/>
      <c r="E692" s="67"/>
    </row>
    <row r="693" spans="1:5" ht="14.25">
      <c r="A693" s="67"/>
      <c r="B693" s="67"/>
      <c r="C693" s="67"/>
      <c r="D693" s="67"/>
      <c r="E693" s="67"/>
    </row>
    <row r="694" spans="1:5" ht="14.25">
      <c r="A694" s="67"/>
      <c r="B694" s="67"/>
      <c r="C694" s="67"/>
      <c r="D694" s="67"/>
      <c r="E694" s="67"/>
    </row>
    <row r="695" spans="1:5" ht="14.25">
      <c r="A695" s="67"/>
      <c r="B695" s="67"/>
      <c r="C695" s="67"/>
      <c r="D695" s="67"/>
      <c r="E695" s="67"/>
    </row>
    <row r="696" spans="1:5" ht="14.25">
      <c r="A696" s="67"/>
      <c r="B696" s="67"/>
      <c r="C696" s="67"/>
      <c r="D696" s="67"/>
      <c r="E696" s="67"/>
    </row>
    <row r="697" spans="1:5" ht="14.25">
      <c r="A697" s="67"/>
      <c r="B697" s="67"/>
      <c r="C697" s="67"/>
      <c r="D697" s="67"/>
      <c r="E697" s="67"/>
    </row>
    <row r="698" spans="1:5" s="30" customFormat="1" ht="15" customHeight="1">
      <c r="A698" s="67"/>
      <c r="B698" s="67"/>
      <c r="C698" s="67"/>
      <c r="D698" s="67"/>
      <c r="E698" s="67"/>
    </row>
    <row r="699" spans="1:5" ht="14.25">
      <c r="A699" s="67"/>
      <c r="B699" s="67"/>
      <c r="C699" s="67"/>
      <c r="D699" s="67"/>
      <c r="E699" s="67"/>
    </row>
    <row r="700" spans="1:5" ht="14.25">
      <c r="A700" s="67"/>
      <c r="B700" s="67"/>
      <c r="C700" s="67"/>
      <c r="D700" s="67"/>
      <c r="E700" s="67"/>
    </row>
    <row r="701" spans="1:5" ht="14.25">
      <c r="A701" s="67"/>
      <c r="B701" s="67"/>
      <c r="C701" s="67"/>
      <c r="D701" s="67"/>
      <c r="E701" s="67"/>
    </row>
    <row r="702" spans="1:5" s="2" customFormat="1" ht="12.75">
      <c r="A702" s="67"/>
      <c r="B702" s="67"/>
      <c r="C702" s="67"/>
      <c r="D702" s="67"/>
      <c r="E702" s="67"/>
    </row>
    <row r="703" spans="1:5" s="30" customFormat="1" ht="14.25">
      <c r="A703" s="67"/>
      <c r="B703" s="67"/>
      <c r="C703" s="67"/>
      <c r="D703" s="67"/>
      <c r="E703" s="67"/>
    </row>
    <row r="704" spans="1:5" ht="14.25">
      <c r="A704" s="67"/>
      <c r="B704" s="67"/>
      <c r="C704" s="67"/>
      <c r="D704" s="67"/>
      <c r="E704" s="67"/>
    </row>
    <row r="705" spans="1:5" ht="14.25">
      <c r="A705" s="67"/>
      <c r="B705" s="67"/>
      <c r="C705" s="67"/>
      <c r="D705" s="67"/>
      <c r="E705" s="67"/>
    </row>
    <row r="706" spans="1:5" ht="14.25">
      <c r="A706" s="67"/>
      <c r="B706" s="67"/>
      <c r="C706" s="67"/>
      <c r="D706" s="67"/>
      <c r="E706" s="67"/>
    </row>
    <row r="707" spans="1:5" ht="14.25">
      <c r="A707" s="67"/>
      <c r="B707" s="67"/>
      <c r="C707" s="67"/>
      <c r="D707" s="67"/>
      <c r="E707" s="67"/>
    </row>
    <row r="708" spans="1:5" ht="14.25">
      <c r="A708" s="67"/>
      <c r="B708" s="67"/>
      <c r="C708" s="67"/>
      <c r="D708" s="67"/>
      <c r="E708" s="67"/>
    </row>
    <row r="709" spans="1:5" ht="14.25">
      <c r="A709" s="67"/>
      <c r="B709" s="67"/>
      <c r="C709" s="67"/>
      <c r="D709" s="67"/>
      <c r="E709" s="67"/>
    </row>
    <row r="710" spans="1:5" ht="14.25">
      <c r="A710" s="67"/>
      <c r="B710" s="67"/>
      <c r="C710" s="67"/>
      <c r="D710" s="67"/>
      <c r="E710" s="67"/>
    </row>
    <row r="711" spans="1:5" ht="14.25">
      <c r="A711" s="67"/>
      <c r="B711" s="67"/>
      <c r="C711" s="67"/>
      <c r="D711" s="67"/>
      <c r="E711" s="67"/>
    </row>
    <row r="712" spans="1:5" ht="14.25">
      <c r="A712" s="67"/>
      <c r="B712" s="67"/>
      <c r="C712" s="67"/>
      <c r="D712" s="67"/>
      <c r="E712" s="67"/>
    </row>
    <row r="713" spans="1:5" ht="15" customHeight="1">
      <c r="A713" s="67"/>
      <c r="B713" s="67"/>
      <c r="C713" s="67"/>
      <c r="D713" s="67"/>
      <c r="E713" s="67"/>
    </row>
    <row r="714" spans="1:5" ht="14.25">
      <c r="A714" s="67"/>
      <c r="B714" s="67"/>
      <c r="C714" s="67"/>
      <c r="D714" s="67"/>
      <c r="E714" s="67"/>
    </row>
    <row r="715" spans="1:5" ht="14.25">
      <c r="A715" s="67"/>
      <c r="B715" s="67"/>
      <c r="C715" s="67"/>
      <c r="D715" s="67"/>
      <c r="E715" s="67"/>
    </row>
    <row r="716" spans="1:5" ht="15" customHeight="1">
      <c r="A716" s="67"/>
      <c r="B716" s="67"/>
      <c r="C716" s="67"/>
      <c r="D716" s="67"/>
      <c r="E716" s="67"/>
    </row>
    <row r="717" spans="1:5" ht="14.25">
      <c r="A717" s="67"/>
      <c r="B717" s="67"/>
      <c r="C717" s="67"/>
      <c r="D717" s="67"/>
      <c r="E717" s="67"/>
    </row>
    <row r="718" spans="1:5" ht="14.25">
      <c r="A718" s="67"/>
      <c r="B718" s="67"/>
      <c r="C718" s="67"/>
      <c r="D718" s="67"/>
      <c r="E718" s="67"/>
    </row>
    <row r="719" spans="1:5" ht="14.25">
      <c r="A719" s="67"/>
      <c r="B719" s="67"/>
      <c r="C719" s="67"/>
      <c r="D719" s="67"/>
      <c r="E719" s="67"/>
    </row>
    <row r="720" spans="1:5" ht="14.25">
      <c r="A720" s="67"/>
      <c r="B720" s="67"/>
      <c r="C720" s="67"/>
      <c r="D720" s="67"/>
      <c r="E720" s="67"/>
    </row>
    <row r="721" spans="1:5" ht="15" customHeight="1">
      <c r="A721" s="67"/>
      <c r="B721" s="67"/>
      <c r="C721" s="67"/>
      <c r="D721" s="67"/>
      <c r="E721" s="67"/>
    </row>
    <row r="722" spans="1:5" ht="14.25">
      <c r="A722" s="67"/>
      <c r="B722" s="67"/>
      <c r="C722" s="67"/>
      <c r="D722" s="67"/>
      <c r="E722" s="67"/>
    </row>
    <row r="723" spans="1:5" s="30" customFormat="1" ht="14.25">
      <c r="A723" s="67"/>
      <c r="B723" s="67"/>
      <c r="C723" s="67"/>
      <c r="D723" s="67"/>
      <c r="E723" s="67"/>
    </row>
    <row r="724" spans="1:5" ht="14.25">
      <c r="A724" s="67"/>
      <c r="B724" s="67"/>
      <c r="C724" s="67"/>
      <c r="D724" s="67"/>
      <c r="E724" s="67"/>
    </row>
    <row r="725" spans="1:5" ht="14.25">
      <c r="A725" s="67"/>
      <c r="B725" s="67"/>
      <c r="C725" s="67"/>
      <c r="D725" s="67"/>
      <c r="E725" s="67"/>
    </row>
    <row r="726" spans="1:5" ht="14.25">
      <c r="A726" s="67"/>
      <c r="B726" s="67"/>
      <c r="C726" s="67"/>
      <c r="D726" s="67"/>
      <c r="E726" s="67"/>
    </row>
    <row r="727" spans="1:5" ht="14.25">
      <c r="A727" s="67"/>
      <c r="B727" s="67"/>
      <c r="C727" s="67"/>
      <c r="D727" s="67"/>
      <c r="E727" s="67"/>
    </row>
    <row r="728" spans="1:5" ht="14.25">
      <c r="A728" s="67"/>
      <c r="B728" s="67"/>
      <c r="C728" s="67"/>
      <c r="D728" s="67"/>
      <c r="E728" s="67"/>
    </row>
    <row r="729" spans="1:5" s="30" customFormat="1" ht="15" customHeight="1">
      <c r="A729" s="67"/>
      <c r="B729" s="67"/>
      <c r="C729" s="67"/>
      <c r="D729" s="67"/>
      <c r="E729" s="67"/>
    </row>
    <row r="730" spans="1:5" ht="14.25">
      <c r="A730" s="67"/>
      <c r="B730" s="67"/>
      <c r="C730" s="67"/>
      <c r="D730" s="67"/>
      <c r="E730" s="67"/>
    </row>
    <row r="731" spans="1:5" ht="14.25">
      <c r="A731" s="67"/>
      <c r="B731" s="67"/>
      <c r="C731" s="67"/>
      <c r="D731" s="67"/>
      <c r="E731" s="67"/>
    </row>
    <row r="732" spans="1:5" ht="14.25">
      <c r="A732" s="67"/>
      <c r="B732" s="67"/>
      <c r="C732" s="67"/>
      <c r="D732" s="67"/>
      <c r="E732" s="67"/>
    </row>
    <row r="733" spans="1:5" s="2" customFormat="1" ht="12.75">
      <c r="A733" s="67"/>
      <c r="B733" s="67"/>
      <c r="C733" s="67"/>
      <c r="D733" s="67"/>
      <c r="E733" s="67"/>
    </row>
    <row r="734" spans="1:5" s="30" customFormat="1" ht="14.25">
      <c r="A734" s="67"/>
      <c r="B734" s="67"/>
      <c r="C734" s="67"/>
      <c r="D734" s="67"/>
      <c r="E734" s="67"/>
    </row>
    <row r="735" spans="1:5" ht="14.25">
      <c r="A735" s="67"/>
      <c r="B735" s="67"/>
      <c r="C735" s="67"/>
      <c r="D735" s="67"/>
      <c r="E735" s="67"/>
    </row>
    <row r="736" spans="1:5" ht="14.25">
      <c r="A736" s="67"/>
      <c r="B736" s="67"/>
      <c r="C736" s="67"/>
      <c r="D736" s="67"/>
      <c r="E736" s="67"/>
    </row>
    <row r="737" spans="1:5" ht="14.25">
      <c r="A737" s="67"/>
      <c r="B737" s="67"/>
      <c r="C737" s="67"/>
      <c r="D737" s="67"/>
      <c r="E737" s="67"/>
    </row>
    <row r="738" spans="1:5" ht="14.25">
      <c r="A738" s="67"/>
      <c r="B738" s="67"/>
      <c r="C738" s="67"/>
      <c r="D738" s="67"/>
      <c r="E738" s="67"/>
    </row>
    <row r="739" spans="1:5" ht="14.25">
      <c r="A739" s="67"/>
      <c r="B739" s="67"/>
      <c r="C739" s="67"/>
      <c r="D739" s="67"/>
      <c r="E739" s="67"/>
    </row>
    <row r="740" spans="1:5" ht="14.25">
      <c r="A740" s="67"/>
      <c r="B740" s="67"/>
      <c r="C740" s="67"/>
      <c r="D740" s="67"/>
      <c r="E740" s="67"/>
    </row>
    <row r="741" spans="1:5" ht="14.25">
      <c r="A741" s="67"/>
      <c r="B741" s="67"/>
      <c r="C741" s="67"/>
      <c r="D741" s="67"/>
      <c r="E741" s="67"/>
    </row>
    <row r="742" spans="1:5" ht="14.25">
      <c r="A742" s="67"/>
      <c r="B742" s="67"/>
      <c r="C742" s="67"/>
      <c r="D742" s="67"/>
      <c r="E742" s="67"/>
    </row>
    <row r="743" spans="1:5" ht="14.25">
      <c r="A743" s="67"/>
      <c r="B743" s="67"/>
      <c r="C743" s="67"/>
      <c r="D743" s="67"/>
      <c r="E743" s="67"/>
    </row>
    <row r="744" spans="1:5" ht="14.25">
      <c r="A744" s="67"/>
      <c r="B744" s="67"/>
      <c r="C744" s="67"/>
      <c r="D744" s="67"/>
      <c r="E744" s="67"/>
    </row>
    <row r="745" spans="1:5" ht="15" customHeight="1">
      <c r="A745" s="67"/>
      <c r="B745" s="67"/>
      <c r="C745" s="67"/>
      <c r="D745" s="67"/>
      <c r="E745" s="67"/>
    </row>
    <row r="746" spans="1:5" ht="15" customHeight="1">
      <c r="A746" s="67"/>
      <c r="B746" s="67"/>
      <c r="C746" s="67"/>
      <c r="D746" s="67"/>
      <c r="E746" s="67"/>
    </row>
    <row r="747" spans="1:5" ht="14.25">
      <c r="A747" s="67"/>
      <c r="B747" s="67"/>
      <c r="C747" s="67"/>
      <c r="D747" s="67"/>
      <c r="E747" s="67"/>
    </row>
    <row r="748" spans="1:5" ht="15" customHeight="1">
      <c r="A748" s="67"/>
      <c r="B748" s="67"/>
      <c r="C748" s="67"/>
      <c r="D748" s="67"/>
      <c r="E748" s="67"/>
    </row>
    <row r="749" spans="1:5" ht="15" customHeight="1">
      <c r="A749" s="67"/>
      <c r="B749" s="67"/>
      <c r="C749" s="67"/>
      <c r="D749" s="67"/>
      <c r="E749" s="67"/>
    </row>
    <row r="750" spans="1:5" ht="14.25">
      <c r="A750" s="67"/>
      <c r="B750" s="67"/>
      <c r="C750" s="67"/>
      <c r="D750" s="67"/>
      <c r="E750" s="67"/>
    </row>
    <row r="751" spans="1:5" ht="16.5" customHeight="1">
      <c r="A751" s="67"/>
      <c r="B751" s="67"/>
      <c r="C751" s="67"/>
      <c r="D751" s="67"/>
      <c r="E751" s="67"/>
    </row>
    <row r="752" spans="1:5" ht="15" customHeight="1">
      <c r="A752" s="67"/>
      <c r="B752" s="67"/>
      <c r="C752" s="67"/>
      <c r="D752" s="67"/>
      <c r="E752" s="67"/>
    </row>
    <row r="753" spans="1:5" ht="14.25">
      <c r="A753" s="67"/>
      <c r="B753" s="67"/>
      <c r="C753" s="67"/>
      <c r="D753" s="67"/>
      <c r="E753" s="67"/>
    </row>
    <row r="754" spans="1:5" ht="14.25">
      <c r="A754" s="67"/>
      <c r="B754" s="67"/>
      <c r="C754" s="67"/>
      <c r="D754" s="67"/>
      <c r="E754" s="67"/>
    </row>
    <row r="755" spans="1:5" ht="14.25">
      <c r="A755" s="67"/>
      <c r="B755" s="67"/>
      <c r="C755" s="67"/>
      <c r="D755" s="67"/>
      <c r="E755" s="67"/>
    </row>
    <row r="756" spans="1:5" ht="14.25">
      <c r="A756" s="67"/>
      <c r="B756" s="67"/>
      <c r="C756" s="67"/>
      <c r="D756" s="67"/>
      <c r="E756" s="67"/>
    </row>
    <row r="757" spans="1:5" ht="45" customHeight="1">
      <c r="A757" s="67"/>
      <c r="B757" s="67"/>
      <c r="C757" s="67"/>
      <c r="D757" s="67"/>
      <c r="E757" s="67"/>
    </row>
    <row r="758" spans="1:5" s="30" customFormat="1" ht="45" customHeight="1">
      <c r="A758" s="67"/>
      <c r="B758" s="67"/>
      <c r="C758" s="67"/>
      <c r="D758" s="67"/>
      <c r="E758" s="67"/>
    </row>
    <row r="759" spans="1:5" ht="14.25">
      <c r="A759" s="67"/>
      <c r="B759" s="67"/>
      <c r="C759" s="67"/>
      <c r="D759" s="67"/>
      <c r="E759" s="67"/>
    </row>
    <row r="760" spans="1:5" ht="14.25">
      <c r="A760" s="67"/>
      <c r="B760" s="67"/>
      <c r="C760" s="67"/>
      <c r="D760" s="67"/>
      <c r="E760" s="67"/>
    </row>
    <row r="761" spans="1:5" ht="14.25">
      <c r="A761" s="67"/>
      <c r="B761" s="67"/>
      <c r="C761" s="67"/>
      <c r="D761" s="67"/>
      <c r="E761" s="67"/>
    </row>
    <row r="762" spans="1:5" ht="30" customHeight="1">
      <c r="A762" s="67"/>
      <c r="B762" s="67"/>
      <c r="C762" s="67"/>
      <c r="D762" s="67"/>
      <c r="E762" s="67"/>
    </row>
    <row r="763" spans="1:5" ht="14.25">
      <c r="A763" s="67"/>
      <c r="B763" s="67"/>
      <c r="C763" s="67"/>
      <c r="D763" s="67"/>
      <c r="E763" s="67"/>
    </row>
    <row r="764" spans="1:5" s="30" customFormat="1" ht="15" customHeight="1">
      <c r="A764" s="67"/>
      <c r="B764" s="67"/>
      <c r="C764" s="67"/>
      <c r="D764" s="67"/>
      <c r="E764" s="67"/>
    </row>
    <row r="765" spans="1:5" ht="14.25">
      <c r="A765" s="67"/>
      <c r="B765" s="67"/>
      <c r="C765" s="67"/>
      <c r="D765" s="67"/>
      <c r="E765" s="67"/>
    </row>
    <row r="766" spans="1:5" ht="14.25">
      <c r="A766" s="67"/>
      <c r="B766" s="67"/>
      <c r="C766" s="67"/>
      <c r="D766" s="67"/>
      <c r="E766" s="67"/>
    </row>
    <row r="767" spans="1:5" ht="14.25">
      <c r="A767" s="67"/>
      <c r="B767" s="67"/>
      <c r="C767" s="67"/>
      <c r="D767" s="67"/>
      <c r="E767" s="67"/>
    </row>
    <row r="768" spans="1:5" s="2" customFormat="1" ht="12.75">
      <c r="A768" s="67"/>
      <c r="B768" s="67"/>
      <c r="C768" s="67"/>
      <c r="D768" s="67"/>
      <c r="E768" s="67"/>
    </row>
    <row r="769" spans="1:5" s="30" customFormat="1" ht="14.25">
      <c r="A769" s="67"/>
      <c r="B769" s="67"/>
      <c r="C769" s="67"/>
      <c r="D769" s="67"/>
      <c r="E769" s="67"/>
    </row>
    <row r="770" spans="1:5" ht="14.25">
      <c r="A770" s="67"/>
      <c r="B770" s="67"/>
      <c r="C770" s="67"/>
      <c r="D770" s="67"/>
      <c r="E770" s="67"/>
    </row>
    <row r="771" spans="1:5" s="2" customFormat="1" ht="12.75" customHeight="1">
      <c r="A771" s="67"/>
      <c r="B771" s="67"/>
      <c r="C771" s="67"/>
      <c r="D771" s="67"/>
      <c r="E771" s="67"/>
    </row>
    <row r="772" spans="1:5" s="2" customFormat="1" ht="12.75" customHeight="1">
      <c r="A772" s="67"/>
      <c r="B772" s="67"/>
      <c r="C772" s="67"/>
      <c r="D772" s="67"/>
      <c r="E772" s="67"/>
    </row>
    <row r="773" spans="1:5" ht="14.25">
      <c r="A773" s="67"/>
      <c r="B773" s="67"/>
      <c r="C773" s="67"/>
      <c r="D773" s="67"/>
      <c r="E773" s="67"/>
    </row>
    <row r="774" spans="1:5" ht="14.25">
      <c r="A774" s="67"/>
      <c r="B774" s="67"/>
      <c r="C774" s="67"/>
      <c r="D774" s="67"/>
      <c r="E774" s="67"/>
    </row>
    <row r="775" spans="1:5" ht="14.25">
      <c r="A775" s="67"/>
      <c r="B775" s="67"/>
      <c r="C775" s="67"/>
      <c r="D775" s="67"/>
      <c r="E775" s="67"/>
    </row>
    <row r="776" spans="1:5" ht="14.25">
      <c r="A776" s="67"/>
      <c r="B776" s="67"/>
      <c r="C776" s="67"/>
      <c r="D776" s="67"/>
      <c r="E776" s="67"/>
    </row>
    <row r="777" spans="1:5" ht="14.25">
      <c r="A777" s="67"/>
      <c r="B777" s="67"/>
      <c r="C777" s="67"/>
      <c r="D777" s="67"/>
      <c r="E777" s="67"/>
    </row>
    <row r="778" spans="1:5" ht="14.25">
      <c r="A778" s="67"/>
      <c r="B778" s="67"/>
      <c r="C778" s="67"/>
      <c r="D778" s="67"/>
      <c r="E778" s="67"/>
    </row>
    <row r="779" spans="1:5" ht="14.25">
      <c r="A779" s="67"/>
      <c r="B779" s="67"/>
      <c r="C779" s="67"/>
      <c r="D779" s="67"/>
      <c r="E779" s="67"/>
    </row>
    <row r="780" spans="1:5" ht="14.25">
      <c r="A780" s="67"/>
      <c r="B780" s="67"/>
      <c r="C780" s="67"/>
      <c r="D780" s="67"/>
      <c r="E780" s="67"/>
    </row>
    <row r="781" spans="1:5" ht="27.75" customHeight="1">
      <c r="A781" s="67"/>
      <c r="B781" s="67"/>
      <c r="C781" s="67"/>
      <c r="D781" s="67"/>
      <c r="E781" s="67"/>
    </row>
    <row r="782" spans="1:5" ht="27.75" customHeight="1">
      <c r="A782" s="67"/>
      <c r="B782" s="67"/>
      <c r="C782" s="67"/>
      <c r="D782" s="67"/>
      <c r="E782" s="67"/>
    </row>
    <row r="783" spans="1:5" ht="14.25">
      <c r="A783" s="67"/>
      <c r="B783" s="67"/>
      <c r="C783" s="67"/>
      <c r="D783" s="67"/>
      <c r="E783" s="67"/>
    </row>
    <row r="784" spans="1:5" ht="14.25">
      <c r="A784" s="67"/>
      <c r="B784" s="67"/>
      <c r="C784" s="67"/>
      <c r="D784" s="67"/>
      <c r="E784" s="67"/>
    </row>
    <row r="785" spans="1:5" ht="14.25">
      <c r="A785" s="67"/>
      <c r="B785" s="67"/>
      <c r="C785" s="67"/>
      <c r="D785" s="67"/>
      <c r="E785" s="67"/>
    </row>
    <row r="786" spans="1:5" ht="14.25">
      <c r="A786" s="67"/>
      <c r="B786" s="67"/>
      <c r="C786" s="67"/>
      <c r="D786" s="67"/>
      <c r="E786" s="67"/>
    </row>
    <row r="787" spans="1:5" ht="14.25">
      <c r="A787" s="67"/>
      <c r="B787" s="67"/>
      <c r="C787" s="67"/>
      <c r="D787" s="67"/>
      <c r="E787" s="67"/>
    </row>
    <row r="788" spans="1:5" ht="14.25">
      <c r="A788" s="67"/>
      <c r="B788" s="67"/>
      <c r="C788" s="67"/>
      <c r="D788" s="67"/>
      <c r="E788" s="67"/>
    </row>
    <row r="789" spans="1:5" ht="14.25">
      <c r="A789" s="67"/>
      <c r="B789" s="67"/>
      <c r="C789" s="67"/>
      <c r="D789" s="67"/>
      <c r="E789" s="67"/>
    </row>
    <row r="790" spans="1:5" s="30" customFormat="1" ht="14.25">
      <c r="A790" s="67"/>
      <c r="B790" s="67"/>
      <c r="C790" s="67"/>
      <c r="D790" s="67"/>
      <c r="E790" s="67"/>
    </row>
    <row r="791" spans="1:5" ht="14.25">
      <c r="A791" s="67"/>
      <c r="B791" s="67"/>
      <c r="C791" s="67"/>
      <c r="D791" s="67"/>
      <c r="E791" s="67"/>
    </row>
    <row r="792" spans="1:5" ht="14.25">
      <c r="A792" s="67"/>
      <c r="B792" s="67"/>
      <c r="C792" s="67"/>
      <c r="D792" s="67"/>
      <c r="E792" s="67"/>
    </row>
    <row r="793" spans="1:5" ht="14.25">
      <c r="A793" s="67"/>
      <c r="B793" s="67"/>
      <c r="C793" s="67"/>
      <c r="D793" s="67"/>
      <c r="E793" s="67"/>
    </row>
    <row r="794" spans="1:5" ht="14.25">
      <c r="A794" s="67"/>
      <c r="B794" s="67"/>
      <c r="C794" s="67"/>
      <c r="D794" s="67"/>
      <c r="E794" s="67"/>
    </row>
    <row r="795" spans="1:5" ht="14.25">
      <c r="A795" s="67"/>
      <c r="B795" s="67"/>
      <c r="C795" s="67"/>
      <c r="D795" s="67"/>
      <c r="E795" s="67"/>
    </row>
    <row r="796" spans="1:5" ht="14.25">
      <c r="A796" s="67"/>
      <c r="B796" s="67"/>
      <c r="C796" s="67"/>
      <c r="D796" s="67"/>
      <c r="E796" s="67"/>
    </row>
    <row r="797" spans="1:5" ht="14.25">
      <c r="A797" s="67"/>
      <c r="B797" s="67"/>
      <c r="C797" s="67"/>
      <c r="D797" s="67"/>
      <c r="E797" s="67"/>
    </row>
    <row r="798" spans="1:5" ht="14.25">
      <c r="A798" s="67"/>
      <c r="B798" s="67"/>
      <c r="C798" s="67"/>
      <c r="D798" s="67"/>
      <c r="E798" s="67"/>
    </row>
    <row r="799" spans="1:5" ht="14.25">
      <c r="A799" s="67"/>
      <c r="B799" s="67"/>
      <c r="C799" s="67"/>
      <c r="D799" s="67"/>
      <c r="E799" s="67"/>
    </row>
    <row r="800" spans="1:5" ht="14.25">
      <c r="A800" s="67"/>
      <c r="B800" s="67"/>
      <c r="C800" s="67"/>
      <c r="D800" s="67"/>
      <c r="E800" s="67"/>
    </row>
    <row r="801" spans="1:5" ht="14.25">
      <c r="A801" s="67"/>
      <c r="B801" s="67"/>
      <c r="C801" s="67"/>
      <c r="D801" s="67"/>
      <c r="E801" s="67"/>
    </row>
    <row r="802" spans="1:5" ht="14.25">
      <c r="A802" s="67"/>
      <c r="B802" s="67"/>
      <c r="C802" s="67"/>
      <c r="D802" s="67"/>
      <c r="E802" s="67"/>
    </row>
    <row r="803" spans="1:5" ht="14.25">
      <c r="A803" s="67"/>
      <c r="B803" s="67"/>
      <c r="C803" s="67"/>
      <c r="D803" s="67"/>
      <c r="E803" s="67"/>
    </row>
    <row r="804" spans="1:5" ht="14.25">
      <c r="A804" s="67"/>
      <c r="B804" s="67"/>
      <c r="C804" s="67"/>
      <c r="D804" s="67"/>
      <c r="E804" s="67"/>
    </row>
    <row r="805" spans="1:5" ht="14.25">
      <c r="A805" s="67"/>
      <c r="B805" s="67"/>
      <c r="C805" s="67"/>
      <c r="D805" s="67"/>
      <c r="E805" s="67"/>
    </row>
    <row r="806" spans="1:5" ht="14.25">
      <c r="A806" s="67"/>
      <c r="B806" s="67"/>
      <c r="C806" s="67"/>
      <c r="D806" s="67"/>
      <c r="E806" s="67"/>
    </row>
    <row r="807" spans="1:5" ht="14.25">
      <c r="A807" s="67"/>
      <c r="B807" s="67"/>
      <c r="C807" s="67"/>
      <c r="D807" s="67"/>
      <c r="E807" s="67"/>
    </row>
    <row r="808" spans="1:5" ht="14.25">
      <c r="A808" s="67"/>
      <c r="B808" s="67"/>
      <c r="C808" s="67"/>
      <c r="D808" s="67"/>
      <c r="E808" s="67"/>
    </row>
    <row r="809" spans="1:5" ht="14.25">
      <c r="A809" s="67"/>
      <c r="B809" s="67"/>
      <c r="C809" s="67"/>
      <c r="D809" s="67"/>
      <c r="E809" s="67"/>
    </row>
    <row r="810" spans="1:5" ht="14.25">
      <c r="A810" s="67"/>
      <c r="B810" s="67"/>
      <c r="C810" s="67"/>
      <c r="D810" s="67"/>
      <c r="E810" s="67"/>
    </row>
    <row r="811" spans="1:5" ht="14.25">
      <c r="A811" s="67"/>
      <c r="B811" s="67"/>
      <c r="C811" s="67"/>
      <c r="D811" s="67"/>
      <c r="E811" s="67"/>
    </row>
    <row r="812" spans="1:5" ht="14.25">
      <c r="A812" s="67"/>
      <c r="B812" s="67"/>
      <c r="C812" s="67"/>
      <c r="D812" s="67"/>
      <c r="E812" s="67"/>
    </row>
    <row r="813" spans="1:5" ht="15" customHeight="1">
      <c r="A813" s="67"/>
      <c r="B813" s="67"/>
      <c r="C813" s="67"/>
      <c r="D813" s="67"/>
      <c r="E813" s="67"/>
    </row>
    <row r="814" spans="1:5" ht="15" customHeight="1">
      <c r="A814" s="67"/>
      <c r="B814" s="67"/>
      <c r="C814" s="67"/>
      <c r="D814" s="67"/>
      <c r="E814" s="67"/>
    </row>
    <row r="815" spans="1:5" ht="14.25">
      <c r="A815" s="67"/>
      <c r="B815" s="67"/>
      <c r="C815" s="67"/>
      <c r="D815" s="67"/>
      <c r="E815" s="67"/>
    </row>
    <row r="816" spans="1:5" ht="15" customHeight="1">
      <c r="A816" s="67"/>
      <c r="B816" s="67"/>
      <c r="C816" s="67"/>
      <c r="D816" s="67"/>
      <c r="E816" s="67"/>
    </row>
    <row r="817" spans="1:5" ht="15" customHeight="1">
      <c r="A817" s="67"/>
      <c r="B817" s="67"/>
      <c r="C817" s="67"/>
      <c r="D817" s="67"/>
      <c r="E817" s="67"/>
    </row>
    <row r="818" spans="1:5" ht="14.25">
      <c r="A818" s="67"/>
      <c r="B818" s="67"/>
      <c r="C818" s="67"/>
      <c r="D818" s="67"/>
      <c r="E818" s="67"/>
    </row>
    <row r="819" spans="1:5" ht="16.5" customHeight="1">
      <c r="A819" s="67"/>
      <c r="B819" s="67"/>
      <c r="C819" s="67"/>
      <c r="D819" s="67"/>
      <c r="E819" s="67"/>
    </row>
    <row r="820" spans="1:5" ht="15" customHeight="1">
      <c r="A820" s="67"/>
      <c r="B820" s="67"/>
      <c r="C820" s="67"/>
      <c r="D820" s="67"/>
      <c r="E820" s="67"/>
    </row>
    <row r="821" spans="1:5" ht="14.25">
      <c r="A821" s="67"/>
      <c r="B821" s="67"/>
      <c r="C821" s="67"/>
      <c r="D821" s="67"/>
      <c r="E821" s="67"/>
    </row>
    <row r="822" spans="1:5" ht="14.25">
      <c r="A822" s="67"/>
      <c r="B822" s="67"/>
      <c r="C822" s="67"/>
      <c r="D822" s="67"/>
      <c r="E822" s="67"/>
    </row>
    <row r="823" spans="1:5" ht="14.25">
      <c r="A823" s="67"/>
      <c r="B823" s="67"/>
      <c r="C823" s="67"/>
      <c r="D823" s="67"/>
      <c r="E823" s="67"/>
    </row>
    <row r="824" spans="1:5" ht="14.25">
      <c r="A824" s="67"/>
      <c r="B824" s="67"/>
      <c r="C824" s="67"/>
      <c r="D824" s="67"/>
      <c r="E824" s="67"/>
    </row>
    <row r="825" spans="1:5" ht="45" customHeight="1">
      <c r="A825" s="67"/>
      <c r="B825" s="67"/>
      <c r="C825" s="67"/>
      <c r="D825" s="67"/>
      <c r="E825" s="67"/>
    </row>
    <row r="826" spans="1:5" s="30" customFormat="1" ht="45" customHeight="1">
      <c r="A826" s="67"/>
      <c r="B826" s="67"/>
      <c r="C826" s="67"/>
      <c r="D826" s="67"/>
      <c r="E826" s="67"/>
    </row>
    <row r="827" spans="1:5" s="30" customFormat="1" ht="14.25">
      <c r="A827" s="67"/>
      <c r="B827" s="67"/>
      <c r="C827" s="67"/>
      <c r="D827" s="67"/>
      <c r="E827" s="67"/>
    </row>
    <row r="828" spans="1:5" ht="14.25">
      <c r="A828" s="67"/>
      <c r="B828" s="67"/>
      <c r="C828" s="67"/>
      <c r="D828" s="67"/>
      <c r="E828" s="67"/>
    </row>
    <row r="829" spans="1:5" ht="14.25">
      <c r="A829" s="67"/>
      <c r="B829" s="67"/>
      <c r="C829" s="67"/>
      <c r="D829" s="67"/>
      <c r="E829" s="67"/>
    </row>
    <row r="830" spans="1:5" ht="14.25">
      <c r="A830" s="67"/>
      <c r="B830" s="67"/>
      <c r="C830" s="67"/>
      <c r="D830" s="67"/>
      <c r="E830" s="67"/>
    </row>
    <row r="831" spans="1:5" ht="30" customHeight="1">
      <c r="A831" s="67"/>
      <c r="B831" s="67"/>
      <c r="C831" s="67"/>
      <c r="D831" s="67"/>
      <c r="E831" s="67"/>
    </row>
    <row r="832" spans="1:5" ht="14.25">
      <c r="A832" s="67"/>
      <c r="B832" s="67"/>
      <c r="C832" s="67"/>
      <c r="D832" s="67"/>
      <c r="E832" s="67"/>
    </row>
    <row r="833" spans="1:5" s="30" customFormat="1" ht="15" customHeight="1">
      <c r="A833" s="67"/>
      <c r="B833" s="67"/>
      <c r="C833" s="67"/>
      <c r="D833" s="67"/>
      <c r="E833" s="67"/>
    </row>
    <row r="834" spans="1:5" ht="14.25">
      <c r="A834" s="67"/>
      <c r="B834" s="67"/>
      <c r="C834" s="67"/>
      <c r="D834" s="67"/>
      <c r="E834" s="67"/>
    </row>
    <row r="835" spans="1:5" ht="14.25">
      <c r="A835" s="67"/>
      <c r="B835" s="67"/>
      <c r="C835" s="67"/>
      <c r="D835" s="67"/>
      <c r="E835" s="67"/>
    </row>
    <row r="836" spans="1:5" ht="14.25">
      <c r="A836" s="67"/>
      <c r="B836" s="67"/>
      <c r="C836" s="67"/>
      <c r="D836" s="67"/>
      <c r="E836" s="67"/>
    </row>
    <row r="837" spans="1:5" s="2" customFormat="1" ht="12.75">
      <c r="A837" s="67"/>
      <c r="B837" s="67"/>
      <c r="C837" s="67"/>
      <c r="D837" s="67"/>
      <c r="E837" s="67"/>
    </row>
    <row r="838" spans="1:5" s="30" customFormat="1" ht="14.25">
      <c r="A838" s="67"/>
      <c r="B838" s="67"/>
      <c r="C838" s="67"/>
      <c r="D838" s="67"/>
      <c r="E838" s="67"/>
    </row>
    <row r="839" spans="1:5" ht="14.25">
      <c r="A839" s="67"/>
      <c r="B839" s="67"/>
      <c r="C839" s="67"/>
      <c r="D839" s="67"/>
      <c r="E839" s="67"/>
    </row>
    <row r="840" spans="1:5" s="2" customFormat="1" ht="12.75" customHeight="1">
      <c r="A840" s="67"/>
      <c r="B840" s="67"/>
      <c r="C840" s="67"/>
      <c r="D840" s="67"/>
      <c r="E840" s="67"/>
    </row>
    <row r="841" spans="1:5" s="2" customFormat="1" ht="12.75" customHeight="1">
      <c r="A841" s="67"/>
      <c r="B841" s="67"/>
      <c r="C841" s="67"/>
      <c r="D841" s="67"/>
      <c r="E841" s="67"/>
    </row>
    <row r="842" spans="1:5" ht="14.25">
      <c r="A842" s="67"/>
      <c r="B842" s="67"/>
      <c r="C842" s="67"/>
      <c r="D842" s="67"/>
      <c r="E842" s="67"/>
    </row>
    <row r="843" spans="1:5" ht="14.25">
      <c r="A843" s="67"/>
      <c r="B843" s="67"/>
      <c r="C843" s="67"/>
      <c r="D843" s="67"/>
      <c r="E843" s="67"/>
    </row>
    <row r="844" spans="1:5" ht="14.25">
      <c r="A844" s="67"/>
      <c r="B844" s="67"/>
      <c r="C844" s="67"/>
      <c r="D844" s="67"/>
      <c r="E844" s="67"/>
    </row>
    <row r="845" spans="1:5" ht="14.25">
      <c r="A845" s="67"/>
      <c r="B845" s="67"/>
      <c r="C845" s="67"/>
      <c r="D845" s="67"/>
      <c r="E845" s="67"/>
    </row>
    <row r="846" spans="1:5" ht="14.25">
      <c r="A846" s="67"/>
      <c r="B846" s="67"/>
      <c r="C846" s="67"/>
      <c r="D846" s="67"/>
      <c r="E846" s="67"/>
    </row>
    <row r="847" spans="1:5" ht="27.75" customHeight="1">
      <c r="A847" s="67"/>
      <c r="B847" s="67"/>
      <c r="C847" s="67"/>
      <c r="D847" s="67"/>
      <c r="E847" s="67"/>
    </row>
    <row r="848" spans="1:5" ht="14.25">
      <c r="A848" s="67"/>
      <c r="B848" s="67"/>
      <c r="C848" s="67"/>
      <c r="D848" s="67"/>
      <c r="E848" s="67"/>
    </row>
    <row r="849" spans="1:5" ht="14.25">
      <c r="A849" s="67"/>
      <c r="B849" s="67"/>
      <c r="C849" s="67"/>
      <c r="D849" s="67"/>
      <c r="E849" s="67"/>
    </row>
    <row r="850" spans="1:5" ht="14.25">
      <c r="A850" s="67"/>
      <c r="B850" s="67"/>
      <c r="C850" s="67"/>
      <c r="D850" s="67"/>
      <c r="E850" s="67"/>
    </row>
    <row r="851" spans="1:5" ht="14.25">
      <c r="A851" s="67"/>
      <c r="B851" s="67"/>
      <c r="C851" s="67"/>
      <c r="D851" s="67"/>
      <c r="E851" s="67"/>
    </row>
    <row r="852" spans="1:5" ht="14.25">
      <c r="A852" s="67"/>
      <c r="B852" s="67"/>
      <c r="C852" s="67"/>
      <c r="D852" s="67"/>
      <c r="E852" s="67"/>
    </row>
    <row r="853" spans="1:5" ht="14.25">
      <c r="A853" s="67"/>
      <c r="B853" s="67"/>
      <c r="C853" s="67"/>
      <c r="D853" s="67"/>
      <c r="E853" s="67"/>
    </row>
    <row r="854" spans="1:5" ht="14.25">
      <c r="A854" s="67"/>
      <c r="B854" s="67"/>
      <c r="C854" s="67"/>
      <c r="D854" s="67"/>
      <c r="E854" s="67"/>
    </row>
    <row r="855" spans="1:5" ht="14.25">
      <c r="A855" s="67"/>
      <c r="B855" s="67"/>
      <c r="C855" s="67"/>
      <c r="D855" s="67"/>
      <c r="E855" s="67"/>
    </row>
    <row r="856" spans="1:5" ht="14.25">
      <c r="A856" s="67"/>
      <c r="B856" s="67"/>
      <c r="C856" s="67"/>
      <c r="D856" s="67"/>
      <c r="E856" s="67"/>
    </row>
    <row r="857" spans="1:5" ht="14.25">
      <c r="A857" s="67"/>
      <c r="B857" s="67"/>
      <c r="C857" s="67"/>
      <c r="D857" s="67"/>
      <c r="E857" s="67"/>
    </row>
    <row r="858" spans="1:5" ht="14.25">
      <c r="A858" s="67"/>
      <c r="B858" s="67"/>
      <c r="C858" s="67"/>
      <c r="D858" s="67"/>
      <c r="E858" s="67"/>
    </row>
    <row r="859" spans="1:5" ht="14.25">
      <c r="A859" s="67"/>
      <c r="B859" s="67"/>
      <c r="C859" s="67"/>
      <c r="D859" s="67"/>
      <c r="E859" s="67"/>
    </row>
    <row r="860" spans="1:5" ht="14.25">
      <c r="A860" s="67"/>
      <c r="B860" s="67"/>
      <c r="C860" s="67"/>
      <c r="D860" s="67"/>
      <c r="E860" s="67"/>
    </row>
    <row r="861" spans="1:5" ht="14.25">
      <c r="A861" s="67"/>
      <c r="B861" s="67"/>
      <c r="C861" s="67"/>
      <c r="D861" s="67"/>
      <c r="E861" s="67"/>
    </row>
    <row r="862" spans="1:5" ht="14.25">
      <c r="A862" s="67"/>
      <c r="B862" s="67"/>
      <c r="C862" s="67"/>
      <c r="D862" s="67"/>
      <c r="E862" s="67"/>
    </row>
    <row r="863" spans="1:5" ht="14.25">
      <c r="A863" s="67"/>
      <c r="B863" s="67"/>
      <c r="C863" s="67"/>
      <c r="D863" s="67"/>
      <c r="E863" s="67"/>
    </row>
    <row r="864" spans="1:5" ht="14.25">
      <c r="A864" s="67"/>
      <c r="B864" s="67"/>
      <c r="C864" s="67"/>
      <c r="D864" s="67"/>
      <c r="E864" s="67"/>
    </row>
    <row r="865" spans="1:5" ht="14.25">
      <c r="A865" s="67"/>
      <c r="B865" s="67"/>
      <c r="C865" s="67"/>
      <c r="D865" s="67"/>
      <c r="E865" s="67"/>
    </row>
    <row r="866" spans="1:5" ht="14.25">
      <c r="A866" s="67"/>
      <c r="B866" s="67"/>
      <c r="C866" s="67"/>
      <c r="D866" s="67"/>
      <c r="E866" s="67"/>
    </row>
    <row r="867" spans="1:5" ht="14.25">
      <c r="A867" s="67"/>
      <c r="B867" s="67"/>
      <c r="C867" s="67"/>
      <c r="D867" s="67"/>
      <c r="E867" s="67"/>
    </row>
    <row r="868" spans="1:5" ht="14.25">
      <c r="A868" s="67"/>
      <c r="B868" s="67"/>
      <c r="C868" s="67"/>
      <c r="D868" s="67"/>
      <c r="E868" s="67"/>
    </row>
    <row r="869" spans="1:5" ht="14.25">
      <c r="A869" s="67"/>
      <c r="B869" s="67"/>
      <c r="C869" s="67"/>
      <c r="D869" s="67"/>
      <c r="E869" s="67"/>
    </row>
    <row r="870" spans="1:5" ht="14.25">
      <c r="A870" s="67"/>
      <c r="B870" s="67"/>
      <c r="C870" s="67"/>
      <c r="D870" s="67"/>
      <c r="E870" s="67"/>
    </row>
    <row r="871" spans="1:5" ht="14.25">
      <c r="A871" s="67"/>
      <c r="B871" s="67"/>
      <c r="C871" s="67"/>
      <c r="D871" s="67"/>
      <c r="E871" s="67"/>
    </row>
    <row r="872" spans="1:5" ht="14.25">
      <c r="A872" s="67"/>
      <c r="B872" s="67"/>
      <c r="C872" s="67"/>
      <c r="D872" s="67"/>
      <c r="E872" s="67"/>
    </row>
    <row r="873" spans="1:5" ht="15" customHeight="1">
      <c r="A873" s="67"/>
      <c r="B873" s="67"/>
      <c r="C873" s="67"/>
      <c r="D873" s="67"/>
      <c r="E873" s="67"/>
    </row>
    <row r="874" spans="1:5" ht="14.25">
      <c r="A874" s="67"/>
      <c r="B874" s="67"/>
      <c r="C874" s="67"/>
      <c r="D874" s="67"/>
      <c r="E874" s="67"/>
    </row>
    <row r="875" spans="1:5" ht="14.25">
      <c r="A875" s="67"/>
      <c r="B875" s="67"/>
      <c r="C875" s="67"/>
      <c r="D875" s="67"/>
      <c r="E875" s="67"/>
    </row>
    <row r="876" spans="1:5" ht="15" customHeight="1">
      <c r="A876" s="67"/>
      <c r="B876" s="67"/>
      <c r="C876" s="67"/>
      <c r="D876" s="67"/>
      <c r="E876" s="67"/>
    </row>
    <row r="877" spans="1:5" ht="14.25">
      <c r="A877" s="67"/>
      <c r="B877" s="67"/>
      <c r="C877" s="67"/>
      <c r="D877" s="67"/>
      <c r="E877" s="67"/>
    </row>
    <row r="878" spans="1:5" ht="14.25">
      <c r="A878" s="67"/>
      <c r="B878" s="67"/>
      <c r="C878" s="67"/>
      <c r="D878" s="67"/>
      <c r="E878" s="67"/>
    </row>
    <row r="879" spans="1:5" ht="14.25">
      <c r="A879" s="67"/>
      <c r="B879" s="67"/>
      <c r="C879" s="67"/>
      <c r="D879" s="67"/>
      <c r="E879" s="67"/>
    </row>
    <row r="880" spans="1:5" ht="14.25">
      <c r="A880" s="67"/>
      <c r="B880" s="67"/>
      <c r="C880" s="67"/>
      <c r="D880" s="67"/>
      <c r="E880" s="67"/>
    </row>
    <row r="881" spans="1:5" ht="15" customHeight="1">
      <c r="A881" s="67"/>
      <c r="B881" s="67"/>
      <c r="C881" s="67"/>
      <c r="D881" s="67"/>
      <c r="E881" s="67"/>
    </row>
    <row r="882" spans="1:5" ht="14.25">
      <c r="A882" s="67"/>
      <c r="B882" s="67"/>
      <c r="C882" s="67"/>
      <c r="D882" s="67"/>
      <c r="E882" s="67"/>
    </row>
    <row r="883" spans="1:5" s="30" customFormat="1" ht="14.25">
      <c r="A883" s="67"/>
      <c r="B883" s="67"/>
      <c r="C883" s="67"/>
      <c r="D883" s="67"/>
      <c r="E883" s="67"/>
    </row>
    <row r="884" spans="1:5" ht="14.25">
      <c r="A884" s="67"/>
      <c r="B884" s="67"/>
      <c r="C884" s="67"/>
      <c r="D884" s="67"/>
      <c r="E884" s="67"/>
    </row>
    <row r="885" spans="1:5" ht="14.25">
      <c r="A885" s="67"/>
      <c r="B885" s="67"/>
      <c r="C885" s="67"/>
      <c r="D885" s="67"/>
      <c r="E885" s="67"/>
    </row>
    <row r="886" spans="1:5" ht="14.25">
      <c r="A886" s="67"/>
      <c r="B886" s="67"/>
      <c r="C886" s="67"/>
      <c r="D886" s="67"/>
      <c r="E886" s="67"/>
    </row>
    <row r="887" spans="1:5" ht="14.25">
      <c r="A887" s="67"/>
      <c r="B887" s="67"/>
      <c r="C887" s="67"/>
      <c r="D887" s="67"/>
      <c r="E887" s="67"/>
    </row>
    <row r="888" spans="1:5" ht="14.25">
      <c r="A888" s="67"/>
      <c r="B888" s="67"/>
      <c r="C888" s="67"/>
      <c r="D888" s="67"/>
      <c r="E888" s="67"/>
    </row>
    <row r="889" spans="1:5" s="30" customFormat="1" ht="15" customHeight="1">
      <c r="A889" s="67"/>
      <c r="B889" s="67"/>
      <c r="C889" s="67"/>
      <c r="D889" s="67"/>
      <c r="E889" s="67"/>
    </row>
    <row r="890" spans="1:5" ht="14.25">
      <c r="A890" s="67"/>
      <c r="B890" s="67"/>
      <c r="C890" s="67"/>
      <c r="D890" s="67"/>
      <c r="E890" s="67"/>
    </row>
    <row r="891" spans="1:5" ht="14.25">
      <c r="A891" s="67"/>
      <c r="B891" s="67"/>
      <c r="C891" s="67"/>
      <c r="D891" s="67"/>
      <c r="E891" s="67"/>
    </row>
    <row r="892" spans="1:5" ht="14.25">
      <c r="A892" s="67"/>
      <c r="B892" s="67"/>
      <c r="C892" s="67"/>
      <c r="D892" s="67"/>
      <c r="E892" s="67"/>
    </row>
    <row r="893" spans="1:5" s="2" customFormat="1" ht="12.75">
      <c r="A893" s="67"/>
      <c r="B893" s="67"/>
      <c r="C893" s="67"/>
      <c r="D893" s="67"/>
      <c r="E893" s="67"/>
    </row>
    <row r="894" spans="1:5" s="30" customFormat="1" ht="14.25">
      <c r="A894" s="67"/>
      <c r="B894" s="67"/>
      <c r="C894" s="67"/>
      <c r="D894" s="67"/>
      <c r="E894" s="67"/>
    </row>
    <row r="895" spans="1:5" ht="14.25">
      <c r="A895" s="67"/>
      <c r="B895" s="67"/>
      <c r="C895" s="67"/>
      <c r="D895" s="67"/>
      <c r="E895" s="67"/>
    </row>
    <row r="896" spans="1:5" ht="14.25">
      <c r="A896" s="67"/>
      <c r="B896" s="67"/>
      <c r="C896" s="67"/>
      <c r="D896" s="67"/>
      <c r="E896" s="67"/>
    </row>
    <row r="897" spans="1:5" ht="14.25">
      <c r="A897" s="67"/>
      <c r="B897" s="67"/>
      <c r="C897" s="67"/>
      <c r="D897" s="67"/>
      <c r="E897" s="67"/>
    </row>
    <row r="898" spans="1:5" ht="14.25">
      <c r="A898" s="67"/>
      <c r="B898" s="67"/>
      <c r="C898" s="67"/>
      <c r="D898" s="67"/>
      <c r="E898" s="67"/>
    </row>
    <row r="899" spans="1:5" ht="14.25">
      <c r="A899" s="67"/>
      <c r="B899" s="67"/>
      <c r="C899" s="67"/>
      <c r="D899" s="67"/>
      <c r="E899" s="67"/>
    </row>
    <row r="900" spans="1:5" ht="14.25">
      <c r="A900" s="67"/>
      <c r="B900" s="67"/>
      <c r="C900" s="67"/>
      <c r="D900" s="67"/>
      <c r="E900" s="67"/>
    </row>
    <row r="901" spans="1:5" ht="14.25">
      <c r="A901" s="67"/>
      <c r="B901" s="67"/>
      <c r="C901" s="67"/>
      <c r="D901" s="67"/>
      <c r="E901" s="67"/>
    </row>
    <row r="902" spans="1:5" ht="14.25">
      <c r="A902" s="67"/>
      <c r="B902" s="67"/>
      <c r="C902" s="67"/>
      <c r="D902" s="67"/>
      <c r="E902" s="67"/>
    </row>
    <row r="903" spans="1:5" ht="14.25">
      <c r="A903" s="67"/>
      <c r="B903" s="67"/>
      <c r="C903" s="67"/>
      <c r="D903" s="67"/>
      <c r="E903" s="67"/>
    </row>
    <row r="904" spans="1:5" ht="15" customHeight="1">
      <c r="A904" s="67"/>
      <c r="B904" s="67"/>
      <c r="C904" s="67"/>
      <c r="D904" s="67"/>
      <c r="E904" s="67"/>
    </row>
    <row r="905" spans="1:5" ht="14.25">
      <c r="A905" s="67"/>
      <c r="B905" s="67"/>
      <c r="C905" s="67"/>
      <c r="D905" s="67"/>
      <c r="E905" s="67"/>
    </row>
    <row r="906" spans="1:5" ht="14.25">
      <c r="A906" s="67"/>
      <c r="B906" s="67"/>
      <c r="C906" s="67"/>
      <c r="D906" s="67"/>
      <c r="E906" s="67"/>
    </row>
    <row r="907" spans="1:5" ht="15" customHeight="1">
      <c r="A907" s="67"/>
      <c r="B907" s="67"/>
      <c r="C907" s="67"/>
      <c r="D907" s="67"/>
      <c r="E907" s="67"/>
    </row>
    <row r="908" spans="1:5" ht="14.25">
      <c r="A908" s="67"/>
      <c r="B908" s="67"/>
      <c r="C908" s="67"/>
      <c r="D908" s="67"/>
      <c r="E908" s="67"/>
    </row>
    <row r="909" spans="1:5" ht="14.25">
      <c r="A909" s="67"/>
      <c r="B909" s="67"/>
      <c r="C909" s="67"/>
      <c r="D909" s="67"/>
      <c r="E909" s="67"/>
    </row>
    <row r="910" spans="1:5" ht="15" customHeight="1">
      <c r="A910" s="67"/>
      <c r="B910" s="67"/>
      <c r="C910" s="67"/>
      <c r="D910" s="67"/>
      <c r="E910" s="67"/>
    </row>
    <row r="911" spans="1:5" ht="14.25">
      <c r="A911" s="67"/>
      <c r="B911" s="67"/>
      <c r="C911" s="67"/>
      <c r="D911" s="67"/>
      <c r="E911" s="67"/>
    </row>
    <row r="912" spans="1:5" ht="14.25">
      <c r="A912" s="67"/>
      <c r="B912" s="67"/>
      <c r="C912" s="67"/>
      <c r="D912" s="67"/>
      <c r="E912" s="67"/>
    </row>
    <row r="913" spans="1:5" ht="14.25">
      <c r="A913" s="67"/>
      <c r="B913" s="67"/>
      <c r="C913" s="67"/>
      <c r="D913" s="67"/>
      <c r="E913" s="67"/>
    </row>
    <row r="914" spans="1:5" ht="14.25">
      <c r="A914" s="67"/>
      <c r="B914" s="67"/>
      <c r="C914" s="67"/>
      <c r="D914" s="67"/>
      <c r="E914" s="67"/>
    </row>
    <row r="915" spans="1:5" ht="15" customHeight="1">
      <c r="A915" s="67"/>
      <c r="B915" s="67"/>
      <c r="C915" s="67"/>
      <c r="D915" s="67"/>
      <c r="E915" s="67"/>
    </row>
    <row r="916" spans="1:5" ht="14.25">
      <c r="A916" s="67"/>
      <c r="B916" s="67"/>
      <c r="C916" s="67"/>
      <c r="D916" s="67"/>
      <c r="E916" s="67"/>
    </row>
    <row r="917" spans="1:5" s="30" customFormat="1" ht="14.25">
      <c r="A917" s="67"/>
      <c r="B917" s="67"/>
      <c r="C917" s="67"/>
      <c r="D917" s="67"/>
      <c r="E917" s="67"/>
    </row>
    <row r="918" spans="1:5" ht="14.25">
      <c r="A918" s="67"/>
      <c r="B918" s="67"/>
      <c r="C918" s="67"/>
      <c r="D918" s="67"/>
      <c r="E918" s="67"/>
    </row>
    <row r="919" spans="1:5" ht="14.25">
      <c r="A919" s="67"/>
      <c r="B919" s="67"/>
      <c r="C919" s="67"/>
      <c r="D919" s="67"/>
      <c r="E919" s="67"/>
    </row>
    <row r="920" spans="1:5" ht="14.25">
      <c r="A920" s="67"/>
      <c r="B920" s="67"/>
      <c r="C920" s="67"/>
      <c r="D920" s="67"/>
      <c r="E920" s="67"/>
    </row>
    <row r="921" spans="1:5" ht="15" customHeight="1">
      <c r="A921" s="67"/>
      <c r="B921" s="67"/>
      <c r="C921" s="67"/>
      <c r="D921" s="67"/>
      <c r="E921" s="67"/>
    </row>
    <row r="922" spans="1:5" ht="14.25">
      <c r="A922" s="67"/>
      <c r="B922" s="67"/>
      <c r="C922" s="67"/>
      <c r="D922" s="67"/>
      <c r="E922" s="67"/>
    </row>
    <row r="923" spans="1:5" ht="14.25">
      <c r="A923" s="67"/>
      <c r="B923" s="67"/>
      <c r="C923" s="67"/>
      <c r="D923" s="67"/>
      <c r="E923" s="67"/>
    </row>
    <row r="924" spans="1:5" ht="14.25">
      <c r="A924" s="67"/>
      <c r="B924" s="67"/>
      <c r="C924" s="67"/>
      <c r="D924" s="67"/>
      <c r="E924" s="67"/>
    </row>
    <row r="925" spans="1:5" ht="14.25">
      <c r="A925" s="67"/>
      <c r="B925" s="67"/>
      <c r="C925" s="67"/>
      <c r="D925" s="67"/>
      <c r="E925" s="67"/>
    </row>
    <row r="926" spans="1:5" ht="14.25">
      <c r="A926" s="67"/>
      <c r="B926" s="67"/>
      <c r="C926" s="67"/>
      <c r="D926" s="67"/>
      <c r="E926" s="67"/>
    </row>
    <row r="927" spans="1:5" ht="14.25">
      <c r="A927" s="67"/>
      <c r="B927" s="67"/>
      <c r="C927" s="67"/>
      <c r="D927" s="67"/>
      <c r="E927" s="67"/>
    </row>
    <row r="928" spans="1:5" ht="14.25">
      <c r="A928" s="67"/>
      <c r="B928" s="67"/>
      <c r="C928" s="67"/>
      <c r="D928" s="67"/>
      <c r="E928" s="67"/>
    </row>
    <row r="929" spans="1:5" s="30" customFormat="1" ht="15" customHeight="1">
      <c r="A929" s="67"/>
      <c r="B929" s="67"/>
      <c r="C929" s="67"/>
      <c r="D929" s="67"/>
      <c r="E929" s="67"/>
    </row>
    <row r="930" spans="1:5" s="2" customFormat="1" ht="12.75">
      <c r="A930" s="67"/>
      <c r="B930" s="67"/>
      <c r="C930" s="67"/>
      <c r="D930" s="67"/>
      <c r="E930" s="67"/>
    </row>
    <row r="931" spans="1:5" s="2" customFormat="1" ht="12.75">
      <c r="A931" s="67"/>
      <c r="B931" s="67"/>
      <c r="C931" s="67"/>
      <c r="D931" s="67"/>
      <c r="E931" s="67"/>
    </row>
    <row r="932" spans="1:5" ht="14.25">
      <c r="A932" s="67"/>
      <c r="B932" s="67"/>
      <c r="C932" s="67"/>
      <c r="D932" s="67"/>
      <c r="E932" s="67"/>
    </row>
    <row r="933" spans="1:5" s="2" customFormat="1" ht="12.75">
      <c r="A933" s="67"/>
      <c r="B933" s="67"/>
      <c r="C933" s="67"/>
      <c r="D933" s="67"/>
      <c r="E933" s="67"/>
    </row>
    <row r="934" spans="1:5" ht="14.25">
      <c r="A934" s="67"/>
      <c r="B934" s="67"/>
      <c r="C934" s="67"/>
      <c r="D934" s="67"/>
      <c r="E934" s="67"/>
    </row>
    <row r="935" spans="1:5" ht="14.25">
      <c r="A935" s="67"/>
      <c r="B935" s="67"/>
      <c r="C935" s="67"/>
      <c r="D935" s="67"/>
      <c r="E935" s="67"/>
    </row>
    <row r="936" spans="1:5" ht="14.25">
      <c r="A936" s="67"/>
      <c r="B936" s="67"/>
      <c r="C936" s="67"/>
      <c r="D936" s="67"/>
      <c r="E936" s="67"/>
    </row>
    <row r="937" spans="1:5" s="2" customFormat="1" ht="12.75">
      <c r="A937" s="67"/>
      <c r="B937" s="67"/>
      <c r="C937" s="67"/>
      <c r="D937" s="67"/>
      <c r="E937" s="67"/>
    </row>
    <row r="938" spans="1:5" s="30" customFormat="1" ht="14.25">
      <c r="A938" s="67"/>
      <c r="B938" s="67"/>
      <c r="C938" s="67"/>
      <c r="D938" s="67"/>
      <c r="E938" s="67"/>
    </row>
    <row r="939" spans="1:5" ht="14.25">
      <c r="A939" s="67"/>
      <c r="B939" s="67"/>
      <c r="C939" s="67"/>
      <c r="D939" s="67"/>
      <c r="E939" s="67"/>
    </row>
    <row r="940" spans="1:5" ht="14.25">
      <c r="A940" s="67"/>
      <c r="B940" s="67"/>
      <c r="C940" s="67"/>
      <c r="D940" s="67"/>
      <c r="E940" s="67"/>
    </row>
    <row r="941" spans="1:5" ht="14.25">
      <c r="A941" s="67"/>
      <c r="B941" s="67"/>
      <c r="C941" s="67"/>
      <c r="D941" s="67"/>
      <c r="E941" s="67"/>
    </row>
    <row r="942" spans="1:5" ht="14.25">
      <c r="A942" s="67"/>
      <c r="B942" s="67"/>
      <c r="C942" s="67"/>
      <c r="D942" s="67"/>
      <c r="E942" s="67"/>
    </row>
    <row r="943" spans="1:5" ht="14.25">
      <c r="A943" s="67"/>
      <c r="B943" s="67"/>
      <c r="C943" s="67"/>
      <c r="D943" s="67"/>
      <c r="E943" s="67"/>
    </row>
    <row r="944" spans="1:5" ht="14.25">
      <c r="A944" s="67"/>
      <c r="B944" s="67"/>
      <c r="C944" s="67"/>
      <c r="D944" s="67"/>
      <c r="E944" s="67"/>
    </row>
    <row r="945" spans="1:5" ht="14.25">
      <c r="A945" s="67"/>
      <c r="B945" s="67"/>
      <c r="C945" s="67"/>
      <c r="D945" s="67"/>
      <c r="E945" s="67"/>
    </row>
    <row r="946" spans="1:5" ht="14.25">
      <c r="A946" s="67"/>
      <c r="B946" s="67"/>
      <c r="C946" s="67"/>
      <c r="D946" s="67"/>
      <c r="E946" s="67"/>
    </row>
    <row r="947" spans="1:5" ht="14.25">
      <c r="A947" s="67"/>
      <c r="B947" s="67"/>
      <c r="C947" s="67"/>
      <c r="D947" s="67"/>
      <c r="E947" s="67"/>
    </row>
    <row r="948" spans="1:5" ht="14.25">
      <c r="A948" s="67"/>
      <c r="B948" s="67"/>
      <c r="C948" s="67"/>
      <c r="D948" s="67"/>
      <c r="E948" s="67"/>
    </row>
    <row r="949" spans="1:5" ht="15" customHeight="1">
      <c r="A949" s="67"/>
      <c r="B949" s="67"/>
      <c r="C949" s="67"/>
      <c r="D949" s="67"/>
      <c r="E949" s="67"/>
    </row>
    <row r="950" spans="1:5" ht="15" customHeight="1">
      <c r="A950" s="67"/>
      <c r="B950" s="67"/>
      <c r="C950" s="67"/>
      <c r="D950" s="67"/>
      <c r="E950" s="67"/>
    </row>
    <row r="951" spans="1:5" ht="14.25">
      <c r="A951" s="67"/>
      <c r="B951" s="67"/>
      <c r="C951" s="67"/>
      <c r="D951" s="67"/>
      <c r="E951" s="67"/>
    </row>
    <row r="952" spans="1:5" ht="15" customHeight="1">
      <c r="A952" s="67"/>
      <c r="B952" s="67"/>
      <c r="C952" s="67"/>
      <c r="D952" s="67"/>
      <c r="E952" s="67"/>
    </row>
    <row r="953" spans="1:5" ht="15" customHeight="1">
      <c r="A953" s="67"/>
      <c r="B953" s="67"/>
      <c r="C953" s="67"/>
      <c r="D953" s="67"/>
      <c r="E953" s="67"/>
    </row>
    <row r="954" spans="1:5" ht="14.25">
      <c r="A954" s="67"/>
      <c r="B954" s="67"/>
      <c r="C954" s="67"/>
      <c r="D954" s="67"/>
      <c r="E954" s="67"/>
    </row>
    <row r="955" spans="1:5" ht="16.5" customHeight="1">
      <c r="A955" s="67"/>
      <c r="B955" s="67"/>
      <c r="C955" s="67"/>
      <c r="D955" s="67"/>
      <c r="E955" s="67"/>
    </row>
    <row r="956" spans="1:5" ht="15" customHeight="1">
      <c r="A956" s="67"/>
      <c r="B956" s="67"/>
      <c r="C956" s="67"/>
      <c r="D956" s="67"/>
      <c r="E956" s="67"/>
    </row>
    <row r="957" spans="1:5" ht="14.25">
      <c r="A957" s="67"/>
      <c r="B957" s="67"/>
      <c r="C957" s="67"/>
      <c r="D957" s="67"/>
      <c r="E957" s="67"/>
    </row>
    <row r="958" spans="1:5" ht="14.25">
      <c r="A958" s="67"/>
      <c r="B958" s="67"/>
      <c r="C958" s="67"/>
      <c r="D958" s="67"/>
      <c r="E958" s="67"/>
    </row>
    <row r="959" spans="1:5" ht="14.25">
      <c r="A959" s="67"/>
      <c r="B959" s="67"/>
      <c r="C959" s="67"/>
      <c r="D959" s="67"/>
      <c r="E959" s="67"/>
    </row>
    <row r="960" spans="1:5" ht="14.25">
      <c r="A960" s="67"/>
      <c r="B960" s="67"/>
      <c r="C960" s="67"/>
      <c r="D960" s="67"/>
      <c r="E960" s="67"/>
    </row>
    <row r="961" spans="1:5" ht="45" customHeight="1">
      <c r="A961" s="67"/>
      <c r="B961" s="67"/>
      <c r="C961" s="67"/>
      <c r="D961" s="67"/>
      <c r="E961" s="67"/>
    </row>
    <row r="962" spans="1:5" s="30" customFormat="1" ht="45" customHeight="1">
      <c r="A962" s="67"/>
      <c r="B962" s="67"/>
      <c r="C962" s="67"/>
      <c r="D962" s="67"/>
      <c r="E962" s="67"/>
    </row>
    <row r="963" spans="1:5" s="30" customFormat="1" ht="14.25">
      <c r="A963" s="67"/>
      <c r="B963" s="67"/>
      <c r="C963" s="67"/>
      <c r="D963" s="67"/>
      <c r="E963" s="67"/>
    </row>
    <row r="964" spans="1:5" ht="14.25">
      <c r="A964" s="67"/>
      <c r="B964" s="67"/>
      <c r="C964" s="67"/>
      <c r="D964" s="67"/>
      <c r="E964" s="67"/>
    </row>
    <row r="965" spans="1:5" ht="14.25">
      <c r="A965" s="67"/>
      <c r="B965" s="67"/>
      <c r="C965" s="67"/>
      <c r="D965" s="67"/>
      <c r="E965" s="67"/>
    </row>
    <row r="966" spans="1:5" ht="30" customHeight="1">
      <c r="A966" s="67"/>
      <c r="B966" s="67"/>
      <c r="C966" s="67"/>
      <c r="D966" s="67"/>
      <c r="E966" s="67"/>
    </row>
    <row r="967" spans="1:5" ht="14.25">
      <c r="A967" s="67"/>
      <c r="B967" s="67"/>
      <c r="C967" s="67"/>
      <c r="D967" s="67"/>
      <c r="E967" s="67"/>
    </row>
    <row r="968" spans="1:5" s="30" customFormat="1" ht="15" customHeight="1">
      <c r="A968" s="67"/>
      <c r="B968" s="67"/>
      <c r="C968" s="67"/>
      <c r="D968" s="67"/>
      <c r="E968" s="67"/>
    </row>
    <row r="969" spans="1:5" ht="14.25">
      <c r="A969" s="67"/>
      <c r="B969" s="67"/>
      <c r="C969" s="67"/>
      <c r="D969" s="67"/>
      <c r="E969" s="67"/>
    </row>
    <row r="970" spans="1:5" ht="14.25">
      <c r="A970" s="67"/>
      <c r="B970" s="67"/>
      <c r="C970" s="67"/>
      <c r="D970" s="67"/>
      <c r="E970" s="67"/>
    </row>
    <row r="971" spans="1:5" ht="14.25">
      <c r="A971" s="67"/>
      <c r="B971" s="67"/>
      <c r="C971" s="67"/>
      <c r="D971" s="67"/>
      <c r="E971" s="67"/>
    </row>
    <row r="972" spans="1:5" s="2" customFormat="1" ht="12.75">
      <c r="A972" s="67"/>
      <c r="B972" s="67"/>
      <c r="C972" s="67"/>
      <c r="D972" s="67"/>
      <c r="E972" s="67"/>
    </row>
    <row r="973" spans="1:5" s="30" customFormat="1" ht="14.25">
      <c r="A973" s="67"/>
      <c r="B973" s="67"/>
      <c r="C973" s="67"/>
      <c r="D973" s="67"/>
      <c r="E973" s="67"/>
    </row>
    <row r="974" spans="1:5" ht="14.25">
      <c r="A974" s="67"/>
      <c r="B974" s="67"/>
      <c r="C974" s="67"/>
      <c r="D974" s="67"/>
      <c r="E974" s="67"/>
    </row>
    <row r="975" spans="1:5" s="2" customFormat="1" ht="12.75" customHeight="1">
      <c r="A975" s="67"/>
      <c r="B975" s="67"/>
      <c r="C975" s="67"/>
      <c r="D975" s="67"/>
      <c r="E975" s="67"/>
    </row>
    <row r="976" spans="1:5" s="2" customFormat="1" ht="12.75" customHeight="1">
      <c r="A976" s="67"/>
      <c r="B976" s="67"/>
      <c r="C976" s="67"/>
      <c r="D976" s="67"/>
      <c r="E976" s="67"/>
    </row>
    <row r="977" spans="1:5" ht="14.25">
      <c r="A977" s="67"/>
      <c r="B977" s="67"/>
      <c r="C977" s="67"/>
      <c r="D977" s="67"/>
      <c r="E977" s="67"/>
    </row>
    <row r="978" spans="1:5" ht="14.25">
      <c r="A978" s="67"/>
      <c r="B978" s="67"/>
      <c r="C978" s="67"/>
      <c r="D978" s="67"/>
      <c r="E978" s="67"/>
    </row>
    <row r="979" spans="1:5" ht="14.25">
      <c r="A979" s="67"/>
      <c r="B979" s="67"/>
      <c r="C979" s="67"/>
      <c r="D979" s="67"/>
      <c r="E979" s="67"/>
    </row>
    <row r="980" spans="1:5" ht="14.25">
      <c r="A980" s="67"/>
      <c r="B980" s="67"/>
      <c r="C980" s="67"/>
      <c r="D980" s="67"/>
      <c r="E980" s="67"/>
    </row>
    <row r="981" spans="1:5" ht="27.75" customHeight="1">
      <c r="A981" s="67"/>
      <c r="B981" s="67"/>
      <c r="C981" s="67"/>
      <c r="D981" s="67"/>
      <c r="E981" s="67"/>
    </row>
    <row r="982" spans="1:5" ht="14.25">
      <c r="A982" s="67"/>
      <c r="B982" s="67"/>
      <c r="C982" s="67"/>
      <c r="D982" s="67"/>
      <c r="E982" s="67"/>
    </row>
    <row r="983" spans="1:5" ht="14.25">
      <c r="A983" s="67"/>
      <c r="B983" s="67"/>
      <c r="C983" s="67"/>
      <c r="D983" s="67"/>
      <c r="E983" s="67"/>
    </row>
    <row r="984" spans="1:5" ht="14.25">
      <c r="A984" s="67"/>
      <c r="B984" s="67"/>
      <c r="C984" s="67"/>
      <c r="D984" s="67"/>
      <c r="E984" s="67"/>
    </row>
    <row r="985" spans="1:5" ht="14.25">
      <c r="A985" s="67"/>
      <c r="B985" s="67"/>
      <c r="C985" s="67"/>
      <c r="D985" s="67"/>
      <c r="E985" s="67"/>
    </row>
    <row r="986" spans="1:5" ht="14.25">
      <c r="A986" s="67"/>
      <c r="B986" s="67"/>
      <c r="C986" s="67"/>
      <c r="D986" s="67"/>
      <c r="E986" s="67"/>
    </row>
    <row r="987" spans="1:5" ht="14.25">
      <c r="A987" s="67"/>
      <c r="B987" s="67"/>
      <c r="C987" s="67"/>
      <c r="D987" s="67"/>
      <c r="E987" s="67"/>
    </row>
    <row r="988" spans="1:5" ht="14.25">
      <c r="A988" s="67"/>
      <c r="B988" s="67"/>
      <c r="C988" s="67"/>
      <c r="D988" s="67"/>
      <c r="E988" s="67"/>
    </row>
    <row r="989" spans="1:5" ht="14.25">
      <c r="A989" s="67"/>
      <c r="B989" s="67"/>
      <c r="C989" s="67"/>
      <c r="D989" s="67"/>
      <c r="E989" s="67"/>
    </row>
    <row r="990" spans="1:5" ht="14.25">
      <c r="A990" s="67"/>
      <c r="B990" s="67"/>
      <c r="C990" s="67"/>
      <c r="D990" s="67"/>
      <c r="E990" s="67"/>
    </row>
    <row r="991" spans="1:5" ht="14.25">
      <c r="A991" s="67"/>
      <c r="B991" s="67"/>
      <c r="C991" s="67"/>
      <c r="D991" s="67"/>
      <c r="E991" s="67"/>
    </row>
    <row r="992" spans="1:5" ht="14.25">
      <c r="A992" s="67"/>
      <c r="B992" s="67"/>
      <c r="C992" s="67"/>
      <c r="D992" s="67"/>
      <c r="E992" s="67"/>
    </row>
    <row r="993" spans="1:5" ht="14.25">
      <c r="A993" s="67"/>
      <c r="B993" s="67"/>
      <c r="C993" s="67"/>
      <c r="D993" s="67"/>
      <c r="E993" s="67"/>
    </row>
    <row r="994" spans="1:5" ht="14.25">
      <c r="A994" s="67"/>
      <c r="B994" s="67"/>
      <c r="C994" s="67"/>
      <c r="D994" s="67"/>
      <c r="E994" s="67"/>
    </row>
    <row r="995" spans="1:5" ht="14.25">
      <c r="A995" s="67"/>
      <c r="B995" s="67"/>
      <c r="C995" s="67"/>
      <c r="D995" s="67"/>
      <c r="E995" s="67"/>
    </row>
    <row r="996" spans="1:5" ht="14.25">
      <c r="A996" s="67"/>
      <c r="B996" s="67"/>
      <c r="C996" s="67"/>
      <c r="D996" s="67"/>
      <c r="E996" s="67"/>
    </row>
    <row r="997" spans="1:5" ht="14.25">
      <c r="A997" s="67"/>
      <c r="B997" s="67"/>
      <c r="C997" s="67"/>
      <c r="D997" s="67"/>
      <c r="E997" s="67"/>
    </row>
    <row r="998" spans="1:5" ht="14.25">
      <c r="A998" s="67"/>
      <c r="B998" s="67"/>
      <c r="C998" s="67"/>
      <c r="D998" s="67"/>
      <c r="E998" s="67"/>
    </row>
    <row r="999" spans="1:5" ht="14.25">
      <c r="A999" s="67"/>
      <c r="B999" s="67"/>
      <c r="C999" s="67"/>
      <c r="D999" s="67"/>
      <c r="E999" s="67"/>
    </row>
    <row r="1000" spans="1:5" ht="14.25">
      <c r="A1000" s="67"/>
      <c r="B1000" s="67"/>
      <c r="C1000" s="67"/>
      <c r="D1000" s="67"/>
      <c r="E1000" s="67"/>
    </row>
    <row r="1001" spans="1:5" ht="14.25">
      <c r="A1001" s="67"/>
      <c r="B1001" s="67"/>
      <c r="C1001" s="67"/>
      <c r="D1001" s="67"/>
      <c r="E1001" s="67"/>
    </row>
    <row r="1002" spans="1:5" ht="14.25">
      <c r="A1002" s="67"/>
      <c r="B1002" s="67"/>
      <c r="C1002" s="67"/>
      <c r="D1002" s="67"/>
      <c r="E1002" s="67"/>
    </row>
    <row r="1003" spans="1:5" ht="14.25">
      <c r="A1003" s="67"/>
      <c r="B1003" s="67"/>
      <c r="C1003" s="67"/>
      <c r="D1003" s="67"/>
      <c r="E1003" s="67"/>
    </row>
    <row r="1004" spans="1:5" ht="14.25">
      <c r="A1004" s="67"/>
      <c r="B1004" s="67"/>
      <c r="C1004" s="67"/>
      <c r="D1004" s="67"/>
      <c r="E1004" s="67"/>
    </row>
    <row r="1005" spans="1:5" ht="14.25">
      <c r="A1005" s="67"/>
      <c r="B1005" s="67"/>
      <c r="C1005" s="67"/>
      <c r="D1005" s="67"/>
      <c r="E1005" s="67"/>
    </row>
    <row r="1006" spans="1:5" ht="14.25">
      <c r="A1006" s="67"/>
      <c r="B1006" s="67"/>
      <c r="C1006" s="67"/>
      <c r="D1006" s="67"/>
      <c r="E1006" s="67"/>
    </row>
    <row r="1007" spans="1:5" ht="15" customHeight="1">
      <c r="A1007" s="67"/>
      <c r="B1007" s="67"/>
      <c r="C1007" s="67"/>
      <c r="D1007" s="67"/>
      <c r="E1007" s="67"/>
    </row>
    <row r="1008" spans="1:5" ht="15" customHeight="1">
      <c r="A1008" s="67"/>
      <c r="B1008" s="67"/>
      <c r="C1008" s="67"/>
      <c r="D1008" s="67"/>
      <c r="E1008" s="67"/>
    </row>
    <row r="1009" spans="1:5" ht="14.25">
      <c r="A1009" s="67"/>
      <c r="B1009" s="67"/>
      <c r="C1009" s="67"/>
      <c r="D1009" s="67"/>
      <c r="E1009" s="67"/>
    </row>
    <row r="1010" spans="1:5" ht="15" customHeight="1">
      <c r="A1010" s="67"/>
      <c r="B1010" s="67"/>
      <c r="C1010" s="67"/>
      <c r="D1010" s="67"/>
      <c r="E1010" s="67"/>
    </row>
    <row r="1011" spans="1:5" ht="15" customHeight="1">
      <c r="A1011" s="67"/>
      <c r="B1011" s="67"/>
      <c r="C1011" s="67"/>
      <c r="D1011" s="67"/>
      <c r="E1011" s="67"/>
    </row>
    <row r="1012" spans="1:5" ht="14.25">
      <c r="A1012" s="67"/>
      <c r="B1012" s="67"/>
      <c r="C1012" s="67"/>
      <c r="D1012" s="67"/>
      <c r="E1012" s="67"/>
    </row>
    <row r="1013" spans="1:5" ht="16.5" customHeight="1">
      <c r="A1013" s="67"/>
      <c r="B1013" s="67"/>
      <c r="C1013" s="67"/>
      <c r="D1013" s="67"/>
      <c r="E1013" s="67"/>
    </row>
    <row r="1014" spans="1:5" ht="15" customHeight="1">
      <c r="A1014" s="67"/>
      <c r="B1014" s="67"/>
      <c r="C1014" s="67"/>
      <c r="D1014" s="67"/>
      <c r="E1014" s="67"/>
    </row>
    <row r="1015" spans="1:5" ht="14.25">
      <c r="A1015" s="67"/>
      <c r="B1015" s="67"/>
      <c r="C1015" s="67"/>
      <c r="D1015" s="67"/>
      <c r="E1015" s="67"/>
    </row>
    <row r="1016" spans="1:5" ht="14.25">
      <c r="A1016" s="67"/>
      <c r="B1016" s="67"/>
      <c r="C1016" s="67"/>
      <c r="D1016" s="67"/>
      <c r="E1016" s="67"/>
    </row>
    <row r="1017" spans="1:5" ht="14.25">
      <c r="A1017" s="67"/>
      <c r="B1017" s="67"/>
      <c r="C1017" s="67"/>
      <c r="D1017" s="67"/>
      <c r="E1017" s="67"/>
    </row>
    <row r="1018" spans="1:5" ht="14.25">
      <c r="A1018" s="67"/>
      <c r="B1018" s="67"/>
      <c r="C1018" s="67"/>
      <c r="D1018" s="67"/>
      <c r="E1018" s="67"/>
    </row>
    <row r="1019" spans="1:5" ht="45" customHeight="1">
      <c r="A1019" s="67"/>
      <c r="B1019" s="67"/>
      <c r="C1019" s="67"/>
      <c r="D1019" s="67"/>
      <c r="E1019" s="67"/>
    </row>
    <row r="1020" spans="1:5" s="30" customFormat="1" ht="45" customHeight="1">
      <c r="A1020" s="67"/>
      <c r="B1020" s="67"/>
      <c r="C1020" s="67"/>
      <c r="D1020" s="67"/>
      <c r="E1020" s="67"/>
    </row>
    <row r="1021" spans="1:5" s="30" customFormat="1" ht="14.25">
      <c r="A1021" s="67"/>
      <c r="B1021" s="67"/>
      <c r="C1021" s="67"/>
      <c r="D1021" s="67"/>
      <c r="E1021" s="67"/>
    </row>
    <row r="1022" spans="1:5" ht="14.25">
      <c r="A1022" s="67"/>
      <c r="B1022" s="67"/>
      <c r="C1022" s="67"/>
      <c r="D1022" s="67"/>
      <c r="E1022" s="67"/>
    </row>
    <row r="1023" spans="1:5" ht="14.25">
      <c r="A1023" s="67"/>
      <c r="B1023" s="67"/>
      <c r="C1023" s="67"/>
      <c r="D1023" s="67"/>
      <c r="E1023" s="67"/>
    </row>
    <row r="1024" spans="1:5" ht="30" customHeight="1">
      <c r="A1024" s="67"/>
      <c r="B1024" s="67"/>
      <c r="C1024" s="67"/>
      <c r="D1024" s="67"/>
      <c r="E1024" s="67"/>
    </row>
    <row r="1025" spans="1:5" ht="14.25">
      <c r="A1025" s="67"/>
      <c r="B1025" s="67"/>
      <c r="C1025" s="67"/>
      <c r="D1025" s="67"/>
      <c r="E1025" s="67"/>
    </row>
    <row r="1026" spans="1:5" s="30" customFormat="1" ht="15" customHeight="1">
      <c r="A1026" s="67"/>
      <c r="B1026" s="67"/>
      <c r="C1026" s="67"/>
      <c r="D1026" s="67"/>
      <c r="E1026" s="67"/>
    </row>
    <row r="1027" spans="1:5" ht="14.25">
      <c r="A1027" s="67"/>
      <c r="B1027" s="67"/>
      <c r="C1027" s="67"/>
      <c r="D1027" s="67"/>
      <c r="E1027" s="67"/>
    </row>
    <row r="1028" spans="1:5" ht="14.25">
      <c r="A1028" s="67"/>
      <c r="B1028" s="67"/>
      <c r="C1028" s="67"/>
      <c r="D1028" s="67"/>
      <c r="E1028" s="67"/>
    </row>
    <row r="1029" spans="1:5" ht="14.25">
      <c r="A1029" s="67"/>
      <c r="B1029" s="67"/>
      <c r="C1029" s="67"/>
      <c r="D1029" s="67"/>
      <c r="E1029" s="67"/>
    </row>
    <row r="1030" spans="1:5" s="2" customFormat="1" ht="12.75">
      <c r="A1030" s="67"/>
      <c r="B1030" s="67"/>
      <c r="C1030" s="67"/>
      <c r="D1030" s="67"/>
      <c r="E1030" s="67"/>
    </row>
    <row r="1031" spans="1:5" s="30" customFormat="1" ht="14.25">
      <c r="A1031" s="67"/>
      <c r="B1031" s="67"/>
      <c r="C1031" s="67"/>
      <c r="D1031" s="67"/>
      <c r="E1031" s="67"/>
    </row>
    <row r="1032" spans="1:5" ht="14.25">
      <c r="A1032" s="67"/>
      <c r="B1032" s="67"/>
      <c r="C1032" s="67"/>
      <c r="D1032" s="67"/>
      <c r="E1032" s="67"/>
    </row>
    <row r="1033" spans="1:5" s="2" customFormat="1" ht="12.75" customHeight="1">
      <c r="A1033" s="67"/>
      <c r="B1033" s="67"/>
      <c r="C1033" s="67"/>
      <c r="D1033" s="67"/>
      <c r="E1033" s="67"/>
    </row>
    <row r="1034" spans="1:5" s="2" customFormat="1" ht="12.75" customHeight="1">
      <c r="A1034" s="67"/>
      <c r="B1034" s="67"/>
      <c r="C1034" s="67"/>
      <c r="D1034" s="67"/>
      <c r="E1034" s="67"/>
    </row>
    <row r="1035" spans="1:5" ht="14.25">
      <c r="A1035" s="67"/>
      <c r="B1035" s="67"/>
      <c r="C1035" s="67"/>
      <c r="D1035" s="67"/>
      <c r="E1035" s="67"/>
    </row>
    <row r="1036" spans="1:5" ht="14.25">
      <c r="A1036" s="67"/>
      <c r="B1036" s="67"/>
      <c r="C1036" s="67"/>
      <c r="D1036" s="67"/>
      <c r="E1036" s="67"/>
    </row>
    <row r="1037" spans="1:5" ht="14.25">
      <c r="A1037" s="67"/>
      <c r="B1037" s="67"/>
      <c r="C1037" s="67"/>
      <c r="D1037" s="67"/>
      <c r="E1037" s="67"/>
    </row>
    <row r="1038" spans="1:5" ht="14.25">
      <c r="A1038" s="67"/>
      <c r="B1038" s="67"/>
      <c r="C1038" s="67"/>
      <c r="D1038" s="67"/>
      <c r="E1038" s="67"/>
    </row>
    <row r="1039" spans="1:5" ht="27.75" customHeight="1">
      <c r="A1039" s="67"/>
      <c r="B1039" s="67"/>
      <c r="C1039" s="67"/>
      <c r="D1039" s="67"/>
      <c r="E1039" s="67"/>
    </row>
    <row r="1040" spans="1:5" ht="14.25">
      <c r="A1040" s="67"/>
      <c r="B1040" s="67"/>
      <c r="C1040" s="67"/>
      <c r="D1040" s="67"/>
      <c r="E1040" s="67"/>
    </row>
    <row r="1041" spans="1:5" ht="14.25">
      <c r="A1041" s="67"/>
      <c r="B1041" s="67"/>
      <c r="C1041" s="67"/>
      <c r="D1041" s="67"/>
      <c r="E1041" s="67"/>
    </row>
    <row r="1042" spans="1:5" ht="14.25">
      <c r="A1042" s="67"/>
      <c r="B1042" s="67"/>
      <c r="C1042" s="67"/>
      <c r="D1042" s="67"/>
      <c r="E1042" s="67"/>
    </row>
    <row r="1043" spans="1:5" ht="14.25">
      <c r="A1043" s="67"/>
      <c r="B1043" s="67"/>
      <c r="C1043" s="67"/>
      <c r="D1043" s="67"/>
      <c r="E1043" s="67"/>
    </row>
    <row r="1044" spans="1:5" ht="14.25">
      <c r="A1044" s="67"/>
      <c r="B1044" s="67"/>
      <c r="C1044" s="67"/>
      <c r="D1044" s="67"/>
      <c r="E1044" s="67"/>
    </row>
    <row r="1045" spans="1:5" ht="14.25">
      <c r="A1045" s="67"/>
      <c r="B1045" s="67"/>
      <c r="C1045" s="67"/>
      <c r="D1045" s="67"/>
      <c r="E1045" s="67"/>
    </row>
    <row r="1046" spans="1:5" ht="14.25">
      <c r="A1046" s="67"/>
      <c r="B1046" s="67"/>
      <c r="C1046" s="67"/>
      <c r="D1046" s="67"/>
      <c r="E1046" s="67"/>
    </row>
    <row r="1047" spans="1:5" ht="14.25">
      <c r="A1047" s="67"/>
      <c r="B1047" s="67"/>
      <c r="C1047" s="67"/>
      <c r="D1047" s="67"/>
      <c r="E1047" s="67"/>
    </row>
    <row r="1048" spans="1:5" ht="14.25">
      <c r="A1048" s="67"/>
      <c r="B1048" s="67"/>
      <c r="C1048" s="67"/>
      <c r="D1048" s="67"/>
      <c r="E1048" s="67"/>
    </row>
    <row r="1049" spans="1:5" ht="14.25">
      <c r="A1049" s="67"/>
      <c r="B1049" s="67"/>
      <c r="C1049" s="67"/>
      <c r="D1049" s="67"/>
      <c r="E1049" s="67"/>
    </row>
    <row r="1050" spans="1:5" ht="14.25">
      <c r="A1050" s="67"/>
      <c r="B1050" s="67"/>
      <c r="C1050" s="67"/>
      <c r="D1050" s="67"/>
      <c r="E1050" s="67"/>
    </row>
    <row r="1051" spans="1:5" ht="14.25">
      <c r="A1051" s="67"/>
      <c r="B1051" s="67"/>
      <c r="C1051" s="67"/>
      <c r="D1051" s="67"/>
      <c r="E1051" s="67"/>
    </row>
    <row r="1052" spans="1:5" ht="14.25">
      <c r="A1052" s="67"/>
      <c r="B1052" s="67"/>
      <c r="C1052" s="67"/>
      <c r="D1052" s="67"/>
      <c r="E1052" s="67"/>
    </row>
    <row r="1053" spans="1:5" ht="14.25">
      <c r="A1053" s="67"/>
      <c r="B1053" s="67"/>
      <c r="C1053" s="67"/>
      <c r="D1053" s="67"/>
      <c r="E1053" s="67"/>
    </row>
    <row r="1054" spans="1:5" ht="14.25">
      <c r="A1054" s="67"/>
      <c r="B1054" s="67"/>
      <c r="C1054" s="67"/>
      <c r="D1054" s="67"/>
      <c r="E1054" s="67"/>
    </row>
    <row r="1055" spans="1:5" ht="14.25">
      <c r="A1055" s="67"/>
      <c r="B1055" s="67"/>
      <c r="C1055" s="67"/>
      <c r="D1055" s="67"/>
      <c r="E1055" s="67"/>
    </row>
    <row r="1056" spans="1:5" ht="14.25">
      <c r="A1056" s="67"/>
      <c r="B1056" s="67"/>
      <c r="C1056" s="67"/>
      <c r="D1056" s="67"/>
      <c r="E1056" s="67"/>
    </row>
    <row r="1057" spans="1:5" ht="14.25">
      <c r="A1057" s="67"/>
      <c r="B1057" s="67"/>
      <c r="C1057" s="67"/>
      <c r="D1057" s="67"/>
      <c r="E1057" s="67"/>
    </row>
    <row r="1058" spans="1:5" ht="14.25">
      <c r="A1058" s="67"/>
      <c r="B1058" s="67"/>
      <c r="C1058" s="67"/>
      <c r="D1058" s="67"/>
      <c r="E1058" s="67"/>
    </row>
    <row r="1059" spans="1:5" ht="14.25">
      <c r="A1059" s="67"/>
      <c r="B1059" s="67"/>
      <c r="C1059" s="67"/>
      <c r="D1059" s="67"/>
      <c r="E1059" s="67"/>
    </row>
    <row r="1060" spans="1:5" ht="14.25">
      <c r="A1060" s="67"/>
      <c r="B1060" s="67"/>
      <c r="C1060" s="67"/>
      <c r="D1060" s="67"/>
      <c r="E1060" s="67"/>
    </row>
    <row r="1061" spans="1:5" ht="14.25">
      <c r="A1061" s="67"/>
      <c r="B1061" s="67"/>
      <c r="C1061" s="67"/>
      <c r="D1061" s="67"/>
      <c r="E1061" s="67"/>
    </row>
    <row r="1062" spans="1:5" ht="14.25">
      <c r="A1062" s="67"/>
      <c r="B1062" s="67"/>
      <c r="C1062" s="67"/>
      <c r="D1062" s="67"/>
      <c r="E1062" s="67"/>
    </row>
    <row r="1063" spans="1:5" ht="14.25">
      <c r="A1063" s="67"/>
      <c r="B1063" s="67"/>
      <c r="C1063" s="67"/>
      <c r="D1063" s="67"/>
      <c r="E1063" s="67"/>
    </row>
    <row r="1064" spans="1:5" ht="14.25">
      <c r="A1064" s="67"/>
      <c r="B1064" s="67"/>
      <c r="C1064" s="67"/>
      <c r="D1064" s="67"/>
      <c r="E1064" s="67"/>
    </row>
    <row r="1065" spans="1:5" ht="15" customHeight="1">
      <c r="A1065" s="67"/>
      <c r="B1065" s="67"/>
      <c r="C1065" s="67"/>
      <c r="D1065" s="67"/>
      <c r="E1065" s="67"/>
    </row>
    <row r="1066" spans="1:5" ht="15" customHeight="1">
      <c r="A1066" s="67"/>
      <c r="B1066" s="67"/>
      <c r="C1066" s="67"/>
      <c r="D1066" s="67"/>
      <c r="E1066" s="67"/>
    </row>
    <row r="1067" spans="1:5" ht="16.5" customHeight="1">
      <c r="A1067" s="67"/>
      <c r="B1067" s="67"/>
      <c r="C1067" s="67"/>
      <c r="D1067" s="67"/>
      <c r="E1067" s="67"/>
    </row>
    <row r="1068" spans="1:5" ht="15" customHeight="1">
      <c r="A1068" s="67"/>
      <c r="B1068" s="67"/>
      <c r="C1068" s="67"/>
      <c r="D1068" s="67"/>
      <c r="E1068" s="67"/>
    </row>
    <row r="1069" spans="1:5" ht="14.25">
      <c r="A1069" s="67"/>
      <c r="B1069" s="67"/>
      <c r="C1069" s="67"/>
      <c r="D1069" s="67"/>
      <c r="E1069" s="67"/>
    </row>
    <row r="1070" spans="1:5" ht="14.25">
      <c r="A1070" s="67"/>
      <c r="B1070" s="67"/>
      <c r="C1070" s="67"/>
      <c r="D1070" s="67"/>
      <c r="E1070" s="67"/>
    </row>
    <row r="1071" spans="1:5" ht="14.25">
      <c r="A1071" s="67"/>
      <c r="B1071" s="67"/>
      <c r="C1071" s="67"/>
      <c r="D1071" s="67"/>
      <c r="E1071" s="67"/>
    </row>
    <row r="1072" spans="1:5" ht="14.25">
      <c r="A1072" s="67"/>
      <c r="B1072" s="67"/>
      <c r="C1072" s="67"/>
      <c r="D1072" s="67"/>
      <c r="E1072" s="67"/>
    </row>
    <row r="1073" spans="1:5" ht="14.25">
      <c r="A1073" s="67"/>
      <c r="B1073" s="67"/>
      <c r="C1073" s="67"/>
      <c r="D1073" s="67"/>
      <c r="E1073" s="67"/>
    </row>
    <row r="1074" spans="1:5" s="30" customFormat="1" ht="14.25">
      <c r="A1074" s="67"/>
      <c r="B1074" s="67"/>
      <c r="C1074" s="67"/>
      <c r="D1074" s="67"/>
      <c r="E1074" s="67"/>
    </row>
    <row r="1075" spans="1:5" ht="18.75" customHeight="1">
      <c r="A1075" s="67"/>
      <c r="B1075" s="67"/>
      <c r="C1075" s="67"/>
      <c r="D1075" s="67"/>
      <c r="E1075" s="67"/>
    </row>
    <row r="1076" spans="1:5" ht="30" customHeight="1">
      <c r="A1076" s="67"/>
      <c r="B1076" s="67"/>
      <c r="C1076" s="67"/>
      <c r="D1076" s="67"/>
      <c r="E1076" s="67"/>
    </row>
    <row r="1077" spans="1:5" ht="14.25">
      <c r="A1077" s="67"/>
      <c r="B1077" s="67"/>
      <c r="C1077" s="67"/>
      <c r="D1077" s="67"/>
      <c r="E1077" s="67"/>
    </row>
    <row r="1078" spans="1:5" ht="14.25">
      <c r="A1078" s="67"/>
      <c r="B1078" s="67"/>
      <c r="C1078" s="67"/>
      <c r="D1078" s="67"/>
      <c r="E1078" s="67"/>
    </row>
    <row r="1079" spans="1:5" ht="14.25">
      <c r="A1079" s="67"/>
      <c r="B1079" s="67"/>
      <c r="C1079" s="67"/>
      <c r="D1079" s="67"/>
      <c r="E1079" s="67"/>
    </row>
    <row r="1080" spans="1:5" ht="14.25">
      <c r="A1080" s="67"/>
      <c r="B1080" s="67"/>
      <c r="C1080" s="67"/>
      <c r="D1080" s="67"/>
      <c r="E1080" s="67"/>
    </row>
    <row r="1081" spans="1:5" ht="14.25">
      <c r="A1081" s="67"/>
      <c r="B1081" s="67"/>
      <c r="C1081" s="67"/>
      <c r="D1081" s="67"/>
      <c r="E1081" s="67"/>
    </row>
    <row r="1082" spans="1:5" ht="14.25">
      <c r="A1082" s="67"/>
      <c r="B1082" s="67"/>
      <c r="C1082" s="67"/>
      <c r="D1082" s="67"/>
      <c r="E1082" s="67"/>
    </row>
    <row r="1083" spans="1:5" ht="14.25">
      <c r="A1083" s="67"/>
      <c r="B1083" s="67"/>
      <c r="C1083" s="67"/>
      <c r="D1083" s="67"/>
      <c r="E1083" s="67"/>
    </row>
    <row r="1084" spans="1:5" ht="14.25">
      <c r="A1084" s="67"/>
      <c r="B1084" s="67"/>
      <c r="C1084" s="67"/>
      <c r="D1084" s="67"/>
      <c r="E1084" s="67"/>
    </row>
    <row r="1085" spans="1:5" ht="14.25">
      <c r="A1085" s="67"/>
      <c r="B1085" s="67"/>
      <c r="C1085" s="67"/>
      <c r="D1085" s="67"/>
      <c r="E1085" s="67"/>
    </row>
    <row r="1086" spans="1:5" s="2" customFormat="1" ht="12.75">
      <c r="A1086" s="67"/>
      <c r="B1086" s="67"/>
      <c r="C1086" s="67"/>
      <c r="D1086" s="67"/>
      <c r="E1086" s="67"/>
    </row>
    <row r="1087" spans="1:5" s="30" customFormat="1" ht="14.25">
      <c r="A1087" s="67"/>
      <c r="B1087" s="67"/>
      <c r="C1087" s="67"/>
      <c r="D1087" s="67"/>
      <c r="E1087" s="67"/>
    </row>
    <row r="1088" spans="1:5" ht="14.25">
      <c r="A1088" s="67"/>
      <c r="B1088" s="67"/>
      <c r="C1088" s="67"/>
      <c r="D1088" s="67"/>
      <c r="E1088" s="67"/>
    </row>
    <row r="1089" spans="1:5" s="2" customFormat="1" ht="12.75">
      <c r="A1089" s="67"/>
      <c r="B1089" s="67"/>
      <c r="C1089" s="67"/>
      <c r="D1089" s="67"/>
      <c r="E1089" s="67"/>
    </row>
    <row r="1090" spans="1:5" s="2" customFormat="1" ht="12.75">
      <c r="A1090" s="67"/>
      <c r="B1090" s="67"/>
      <c r="C1090" s="67"/>
      <c r="D1090" s="67"/>
      <c r="E1090" s="67"/>
    </row>
    <row r="1091" spans="1:5" s="2" customFormat="1" ht="12.75">
      <c r="A1091" s="67"/>
      <c r="B1091" s="67"/>
      <c r="C1091" s="67"/>
      <c r="D1091" s="67"/>
      <c r="E1091" s="67"/>
    </row>
    <row r="1092" spans="1:5" s="2" customFormat="1" ht="12.75" customHeight="1">
      <c r="A1092" s="67"/>
      <c r="B1092" s="67"/>
      <c r="C1092" s="67"/>
      <c r="D1092" s="67"/>
      <c r="E1092" s="67"/>
    </row>
    <row r="1093" spans="1:5" ht="14.25">
      <c r="A1093" s="67"/>
      <c r="B1093" s="67"/>
      <c r="C1093" s="67"/>
      <c r="D1093" s="67"/>
      <c r="E1093" s="67"/>
    </row>
    <row r="1094" spans="1:5" ht="14.25">
      <c r="A1094" s="67"/>
      <c r="B1094" s="67"/>
      <c r="C1094" s="67"/>
      <c r="D1094" s="67"/>
      <c r="E1094" s="67"/>
    </row>
    <row r="1095" spans="1:5" ht="14.25">
      <c r="A1095" s="67"/>
      <c r="B1095" s="67"/>
      <c r="C1095" s="67"/>
      <c r="D1095" s="67"/>
      <c r="E1095" s="67"/>
    </row>
    <row r="1096" spans="1:5" ht="14.25">
      <c r="A1096" s="67"/>
      <c r="B1096" s="67"/>
      <c r="C1096" s="67"/>
      <c r="D1096" s="67"/>
      <c r="E1096" s="67"/>
    </row>
    <row r="1097" spans="1:5" ht="14.25">
      <c r="A1097" s="67"/>
      <c r="B1097" s="67"/>
      <c r="C1097" s="67"/>
      <c r="D1097" s="67"/>
      <c r="E1097" s="67"/>
    </row>
    <row r="1098" spans="1:5" ht="14.25">
      <c r="A1098" s="67"/>
      <c r="B1098" s="67"/>
      <c r="C1098" s="67"/>
      <c r="D1098" s="67"/>
      <c r="E1098" s="67"/>
    </row>
    <row r="1099" spans="1:5" ht="14.25">
      <c r="A1099" s="67"/>
      <c r="B1099" s="67"/>
      <c r="C1099" s="67"/>
      <c r="D1099" s="67"/>
      <c r="E1099" s="67"/>
    </row>
    <row r="1100" spans="1:5" ht="14.25">
      <c r="A1100" s="67"/>
      <c r="B1100" s="67"/>
      <c r="C1100" s="67"/>
      <c r="D1100" s="67"/>
      <c r="E1100" s="67"/>
    </row>
    <row r="1101" spans="1:5" ht="14.25">
      <c r="A1101" s="67"/>
      <c r="B1101" s="67"/>
      <c r="C1101" s="67"/>
      <c r="D1101" s="67"/>
      <c r="E1101" s="67"/>
    </row>
    <row r="1102" spans="1:5" ht="14.25">
      <c r="A1102" s="67"/>
      <c r="B1102" s="67"/>
      <c r="C1102" s="67"/>
      <c r="D1102" s="67"/>
      <c r="E1102" s="67"/>
    </row>
    <row r="1103" spans="1:5" ht="14.25">
      <c r="A1103" s="67"/>
      <c r="B1103" s="67"/>
      <c r="C1103" s="67"/>
      <c r="D1103" s="67"/>
      <c r="E1103" s="67"/>
    </row>
    <row r="1104" spans="1:5" ht="14.25">
      <c r="A1104" s="67"/>
      <c r="B1104" s="67"/>
      <c r="C1104" s="67"/>
      <c r="D1104" s="67"/>
      <c r="E1104" s="67"/>
    </row>
    <row r="1105" spans="1:5" ht="14.25">
      <c r="A1105" s="67"/>
      <c r="B1105" s="67"/>
      <c r="C1105" s="67"/>
      <c r="D1105" s="67"/>
      <c r="E1105" s="67"/>
    </row>
    <row r="1106" spans="1:5" ht="27.75" customHeight="1">
      <c r="A1106" s="67"/>
      <c r="B1106" s="67"/>
      <c r="C1106" s="67"/>
      <c r="D1106" s="67"/>
      <c r="E1106" s="67"/>
    </row>
    <row r="1107" spans="1:5" ht="14.25">
      <c r="A1107" s="67"/>
      <c r="B1107" s="67"/>
      <c r="C1107" s="67"/>
      <c r="D1107" s="67"/>
      <c r="E1107" s="67"/>
    </row>
    <row r="1108" spans="1:5" ht="14.25">
      <c r="A1108" s="67"/>
      <c r="B1108" s="67"/>
      <c r="C1108" s="67"/>
      <c r="D1108" s="67"/>
      <c r="E1108" s="67"/>
    </row>
    <row r="1109" spans="1:5" ht="14.25">
      <c r="A1109" s="67"/>
      <c r="B1109" s="67"/>
      <c r="C1109" s="67"/>
      <c r="D1109" s="67"/>
      <c r="E1109" s="67"/>
    </row>
    <row r="1110" spans="1:5" ht="14.25">
      <c r="A1110" s="67"/>
      <c r="B1110" s="67"/>
      <c r="C1110" s="67"/>
      <c r="D1110" s="67"/>
      <c r="E1110" s="67"/>
    </row>
    <row r="1111" spans="1:5" ht="14.25">
      <c r="A1111" s="67"/>
      <c r="B1111" s="67"/>
      <c r="C1111" s="67"/>
      <c r="D1111" s="67"/>
      <c r="E1111" s="67"/>
    </row>
    <row r="1112" spans="1:5" ht="14.25">
      <c r="A1112" s="67"/>
      <c r="B1112" s="67"/>
      <c r="C1112" s="67"/>
      <c r="D1112" s="67"/>
      <c r="E1112" s="67"/>
    </row>
    <row r="1113" spans="1:5" ht="14.25">
      <c r="A1113" s="67"/>
      <c r="B1113" s="67"/>
      <c r="C1113" s="67"/>
      <c r="D1113" s="67"/>
      <c r="E1113" s="67"/>
    </row>
    <row r="1114" spans="1:5" s="30" customFormat="1" ht="14.25">
      <c r="A1114" s="67"/>
      <c r="B1114" s="67"/>
      <c r="C1114" s="67"/>
      <c r="D1114" s="67"/>
      <c r="E1114" s="67"/>
    </row>
    <row r="1115" spans="1:5" ht="14.25">
      <c r="A1115" s="67"/>
      <c r="B1115" s="67"/>
      <c r="C1115" s="67"/>
      <c r="D1115" s="67"/>
      <c r="E1115" s="67"/>
    </row>
    <row r="1116" spans="1:5" ht="14.25">
      <c r="A1116" s="67"/>
      <c r="B1116" s="67"/>
      <c r="C1116" s="67"/>
      <c r="D1116" s="67"/>
      <c r="E1116" s="67"/>
    </row>
    <row r="1117" spans="1:5" ht="14.25">
      <c r="A1117" s="67"/>
      <c r="B1117" s="67"/>
      <c r="C1117" s="67"/>
      <c r="D1117" s="67"/>
      <c r="E1117" s="67"/>
    </row>
    <row r="1118" spans="1:5" ht="14.25">
      <c r="A1118" s="67"/>
      <c r="B1118" s="67"/>
      <c r="C1118" s="67"/>
      <c r="D1118" s="67"/>
      <c r="E1118" s="67"/>
    </row>
    <row r="1119" spans="1:5" ht="14.25">
      <c r="A1119" s="67"/>
      <c r="B1119" s="67"/>
      <c r="C1119" s="67"/>
      <c r="D1119" s="67"/>
      <c r="E1119" s="67"/>
    </row>
    <row r="1120" spans="1:5" ht="14.25">
      <c r="A1120" s="67"/>
      <c r="B1120" s="67"/>
      <c r="C1120" s="67"/>
      <c r="D1120" s="67"/>
      <c r="E1120" s="67"/>
    </row>
    <row r="1121" spans="1:5" ht="14.25">
      <c r="A1121" s="67"/>
      <c r="B1121" s="67"/>
      <c r="C1121" s="67"/>
      <c r="D1121" s="67"/>
      <c r="E1121" s="67"/>
    </row>
    <row r="1122" spans="1:5" ht="14.25">
      <c r="A1122" s="67"/>
      <c r="B1122" s="67"/>
      <c r="C1122" s="67"/>
      <c r="D1122" s="67"/>
      <c r="E1122" s="67"/>
    </row>
    <row r="1123" spans="1:5" ht="14.25">
      <c r="A1123" s="67"/>
      <c r="B1123" s="67"/>
      <c r="C1123" s="67"/>
      <c r="D1123" s="67"/>
      <c r="E1123" s="67"/>
    </row>
    <row r="1124" spans="1:5" ht="14.25">
      <c r="A1124" s="67"/>
      <c r="B1124" s="67"/>
      <c r="C1124" s="67"/>
      <c r="D1124" s="67"/>
      <c r="E1124" s="67"/>
    </row>
    <row r="1125" spans="1:5" ht="14.25">
      <c r="A1125" s="67"/>
      <c r="B1125" s="67"/>
      <c r="C1125" s="67"/>
      <c r="D1125" s="67"/>
      <c r="E1125" s="67"/>
    </row>
    <row r="1126" spans="1:5" ht="14.25">
      <c r="A1126" s="67"/>
      <c r="B1126" s="67"/>
      <c r="C1126" s="67"/>
      <c r="D1126" s="67"/>
      <c r="E1126" s="67"/>
    </row>
    <row r="1127" spans="1:5" ht="14.25">
      <c r="A1127" s="67"/>
      <c r="B1127" s="67"/>
      <c r="C1127" s="67"/>
      <c r="D1127" s="67"/>
      <c r="E1127" s="67"/>
    </row>
    <row r="1128" spans="1:5" ht="14.25">
      <c r="A1128" s="67"/>
      <c r="B1128" s="67"/>
      <c r="C1128" s="67"/>
      <c r="D1128" s="67"/>
      <c r="E1128" s="67"/>
    </row>
    <row r="1129" spans="1:5" ht="14.25">
      <c r="A1129" s="67"/>
      <c r="B1129" s="67"/>
      <c r="C1129" s="67"/>
      <c r="D1129" s="67"/>
      <c r="E1129" s="67"/>
    </row>
    <row r="1130" spans="1:5" ht="14.25">
      <c r="A1130" s="67"/>
      <c r="B1130" s="67"/>
      <c r="C1130" s="67"/>
      <c r="D1130" s="67"/>
      <c r="E1130" s="67"/>
    </row>
    <row r="1131" spans="1:5" ht="14.25">
      <c r="A1131" s="67"/>
      <c r="B1131" s="67"/>
      <c r="C1131" s="67"/>
      <c r="D1131" s="67"/>
      <c r="E1131" s="67"/>
    </row>
    <row r="1132" spans="1:5" ht="14.25">
      <c r="A1132" s="67"/>
      <c r="B1132" s="67"/>
      <c r="C1132" s="67"/>
      <c r="D1132" s="67"/>
      <c r="E1132" s="67"/>
    </row>
    <row r="1133" spans="1:5" ht="14.25">
      <c r="A1133" s="67"/>
      <c r="B1133" s="67"/>
      <c r="C1133" s="67"/>
      <c r="D1133" s="67"/>
      <c r="E1133" s="67"/>
    </row>
    <row r="1134" spans="1:5" ht="14.25">
      <c r="A1134" s="67"/>
      <c r="B1134" s="67"/>
      <c r="C1134" s="67"/>
      <c r="D1134" s="67"/>
      <c r="E1134" s="67"/>
    </row>
    <row r="1135" spans="1:5" ht="14.25">
      <c r="A1135" s="67"/>
      <c r="B1135" s="67"/>
      <c r="C1135" s="67"/>
      <c r="D1135" s="67"/>
      <c r="E1135" s="67"/>
    </row>
    <row r="1136" spans="1:5" ht="14.25">
      <c r="A1136" s="67"/>
      <c r="B1136" s="67"/>
      <c r="C1136" s="67"/>
      <c r="D1136" s="67"/>
      <c r="E1136" s="67"/>
    </row>
    <row r="1137" spans="1:5" ht="14.25">
      <c r="A1137" s="67"/>
      <c r="B1137" s="67"/>
      <c r="C1137" s="67"/>
      <c r="D1137" s="67"/>
      <c r="E1137" s="67"/>
    </row>
    <row r="1138" spans="1:5" ht="14.25">
      <c r="A1138" s="67"/>
      <c r="B1138" s="67"/>
      <c r="C1138" s="67"/>
      <c r="D1138" s="67"/>
      <c r="E1138" s="67"/>
    </row>
    <row r="1139" spans="1:5" ht="15" customHeight="1">
      <c r="A1139" s="67"/>
      <c r="B1139" s="67"/>
      <c r="C1139" s="67"/>
      <c r="D1139" s="67"/>
      <c r="E1139" s="67"/>
    </row>
    <row r="1140" spans="1:5" ht="14.25">
      <c r="A1140" s="67"/>
      <c r="B1140" s="67"/>
      <c r="C1140" s="67"/>
      <c r="D1140" s="67"/>
      <c r="E1140" s="67"/>
    </row>
    <row r="1141" spans="1:5" ht="14.25">
      <c r="A1141" s="67"/>
      <c r="B1141" s="67"/>
      <c r="C1141" s="67"/>
      <c r="D1141" s="67"/>
      <c r="E1141" s="67"/>
    </row>
    <row r="1142" spans="1:5" ht="15" customHeight="1">
      <c r="A1142" s="67"/>
      <c r="B1142" s="67"/>
      <c r="C1142" s="67"/>
      <c r="D1142" s="67"/>
      <c r="E1142" s="67"/>
    </row>
    <row r="1143" spans="1:5" ht="14.25">
      <c r="A1143" s="67"/>
      <c r="B1143" s="67"/>
      <c r="C1143" s="67"/>
      <c r="D1143" s="67"/>
      <c r="E1143" s="67"/>
    </row>
    <row r="1144" spans="1:5" ht="16.5" customHeight="1">
      <c r="A1144" s="67"/>
      <c r="B1144" s="67"/>
      <c r="C1144" s="67"/>
      <c r="D1144" s="67"/>
      <c r="E1144" s="67"/>
    </row>
    <row r="1145" spans="1:5" ht="15" customHeight="1">
      <c r="A1145" s="67"/>
      <c r="B1145" s="67"/>
      <c r="C1145" s="67"/>
      <c r="D1145" s="67"/>
      <c r="E1145" s="67"/>
    </row>
    <row r="1146" spans="1:5" ht="14.25">
      <c r="A1146" s="67"/>
      <c r="B1146" s="67"/>
      <c r="C1146" s="67"/>
      <c r="D1146" s="67"/>
      <c r="E1146" s="67"/>
    </row>
    <row r="1147" spans="1:5" ht="14.25">
      <c r="A1147" s="67"/>
      <c r="B1147" s="67"/>
      <c r="C1147" s="67"/>
      <c r="D1147" s="67"/>
      <c r="E1147" s="67"/>
    </row>
    <row r="1148" spans="1:5" ht="14.25">
      <c r="A1148" s="67"/>
      <c r="B1148" s="67"/>
      <c r="C1148" s="67"/>
      <c r="D1148" s="67"/>
      <c r="E1148" s="67"/>
    </row>
    <row r="1149" spans="1:5" s="30" customFormat="1" ht="14.25">
      <c r="A1149" s="67"/>
      <c r="B1149" s="67"/>
      <c r="C1149" s="67"/>
      <c r="D1149" s="67"/>
      <c r="E1149" s="67"/>
    </row>
    <row r="1150" spans="1:5" ht="15" customHeight="1">
      <c r="A1150" s="67"/>
      <c r="B1150" s="67"/>
      <c r="C1150" s="67"/>
      <c r="D1150" s="67"/>
      <c r="E1150" s="67"/>
    </row>
    <row r="1151" spans="1:5" ht="45" customHeight="1">
      <c r="A1151" s="67"/>
      <c r="B1151" s="67"/>
      <c r="C1151" s="67"/>
      <c r="D1151" s="67"/>
      <c r="E1151" s="67"/>
    </row>
    <row r="1152" spans="1:5" ht="14.25">
      <c r="A1152" s="67"/>
      <c r="B1152" s="67"/>
      <c r="C1152" s="67"/>
      <c r="D1152" s="67"/>
      <c r="E1152" s="67"/>
    </row>
    <row r="1153" spans="1:5" ht="14.25">
      <c r="A1153" s="67"/>
      <c r="B1153" s="67"/>
      <c r="C1153" s="67"/>
      <c r="D1153" s="67"/>
      <c r="E1153" s="67"/>
    </row>
    <row r="1154" spans="1:5" ht="14.25">
      <c r="A1154" s="67"/>
      <c r="B1154" s="67"/>
      <c r="C1154" s="67"/>
      <c r="D1154" s="67"/>
      <c r="E1154" s="67"/>
    </row>
    <row r="1155" spans="1:5" ht="14.25">
      <c r="A1155" s="67"/>
      <c r="B1155" s="67"/>
      <c r="C1155" s="67"/>
      <c r="D1155" s="67"/>
      <c r="E1155" s="67"/>
    </row>
    <row r="1156" spans="1:5" ht="14.25">
      <c r="A1156" s="67"/>
      <c r="B1156" s="67"/>
      <c r="C1156" s="67"/>
      <c r="D1156" s="67"/>
      <c r="E1156" s="67"/>
    </row>
    <row r="1157" spans="1:5" ht="14.25">
      <c r="A1157" s="67"/>
      <c r="B1157" s="67"/>
      <c r="C1157" s="67"/>
      <c r="D1157" s="67"/>
      <c r="E1157" s="67"/>
    </row>
    <row r="1158" spans="1:5" ht="14.25">
      <c r="A1158" s="67"/>
      <c r="B1158" s="67"/>
      <c r="C1158" s="67"/>
      <c r="D1158" s="67"/>
      <c r="E1158" s="67"/>
    </row>
    <row r="1159" spans="1:5" ht="14.25">
      <c r="A1159" s="67"/>
      <c r="B1159" s="67"/>
      <c r="C1159" s="67"/>
      <c r="D1159" s="67"/>
      <c r="E1159" s="67"/>
    </row>
    <row r="1160" spans="1:5" ht="14.25">
      <c r="A1160" s="67"/>
      <c r="B1160" s="67"/>
      <c r="C1160" s="67"/>
      <c r="D1160" s="67"/>
      <c r="E1160" s="67"/>
    </row>
    <row r="1161" spans="1:5" ht="14.25">
      <c r="A1161" s="67"/>
      <c r="B1161" s="67"/>
      <c r="C1161" s="67"/>
      <c r="D1161" s="67"/>
      <c r="E1161" s="67"/>
    </row>
    <row r="1162" spans="1:5" ht="14.25">
      <c r="A1162" s="67"/>
      <c r="B1162" s="67"/>
      <c r="C1162" s="67"/>
      <c r="D1162" s="67"/>
      <c r="E1162" s="67"/>
    </row>
    <row r="1163" spans="1:5" s="2" customFormat="1" ht="12.75">
      <c r="A1163" s="67"/>
      <c r="B1163" s="67"/>
      <c r="C1163" s="67"/>
      <c r="D1163" s="67"/>
      <c r="E1163" s="67"/>
    </row>
    <row r="1164" spans="1:5" s="30" customFormat="1" ht="14.25">
      <c r="A1164" s="67"/>
      <c r="B1164" s="67"/>
      <c r="C1164" s="67"/>
      <c r="D1164" s="67"/>
      <c r="E1164" s="67"/>
    </row>
    <row r="1165" spans="1:5" ht="14.25">
      <c r="A1165" s="67"/>
      <c r="B1165" s="67"/>
      <c r="C1165" s="67"/>
      <c r="D1165" s="67"/>
      <c r="E1165" s="67"/>
    </row>
    <row r="1166" spans="1:5" s="2" customFormat="1" ht="12.75">
      <c r="A1166" s="67"/>
      <c r="B1166" s="67"/>
      <c r="C1166" s="67"/>
      <c r="D1166" s="67"/>
      <c r="E1166" s="67"/>
    </row>
    <row r="1167" spans="1:5" s="2" customFormat="1" ht="12.75">
      <c r="A1167" s="67"/>
      <c r="B1167" s="67"/>
      <c r="C1167" s="67"/>
      <c r="D1167" s="67"/>
      <c r="E1167" s="67"/>
    </row>
    <row r="1168" spans="1:5" s="2" customFormat="1" ht="12.75">
      <c r="A1168" s="67"/>
      <c r="B1168" s="67"/>
      <c r="C1168" s="67"/>
      <c r="D1168" s="67"/>
      <c r="E1168" s="67"/>
    </row>
    <row r="1169" spans="1:5" s="2" customFormat="1" ht="12.75" customHeight="1">
      <c r="A1169" s="67"/>
      <c r="B1169" s="67"/>
      <c r="C1169" s="67"/>
      <c r="D1169" s="67"/>
      <c r="E1169" s="67"/>
    </row>
    <row r="1170" spans="1:5" ht="14.25">
      <c r="A1170" s="67"/>
      <c r="B1170" s="67"/>
      <c r="C1170" s="67"/>
      <c r="D1170" s="67"/>
      <c r="E1170" s="67"/>
    </row>
    <row r="1171" spans="1:5" ht="14.25">
      <c r="A1171" s="67"/>
      <c r="B1171" s="67"/>
      <c r="C1171" s="67"/>
      <c r="D1171" s="67"/>
      <c r="E1171" s="67"/>
    </row>
    <row r="1172" spans="1:5" ht="14.25">
      <c r="A1172" s="67"/>
      <c r="B1172" s="67"/>
      <c r="C1172" s="67"/>
      <c r="D1172" s="67"/>
      <c r="E1172" s="67"/>
    </row>
    <row r="1173" spans="1:5" ht="14.25">
      <c r="A1173" s="67"/>
      <c r="B1173" s="67"/>
      <c r="C1173" s="67"/>
      <c r="D1173" s="67"/>
      <c r="E1173" s="67"/>
    </row>
    <row r="1174" spans="1:5" ht="14.25">
      <c r="A1174" s="67"/>
      <c r="B1174" s="67"/>
      <c r="C1174" s="67"/>
      <c r="D1174" s="67"/>
      <c r="E1174" s="67"/>
    </row>
    <row r="1175" spans="1:5" ht="14.25">
      <c r="A1175" s="67"/>
      <c r="B1175" s="67"/>
      <c r="C1175" s="67"/>
      <c r="D1175" s="67"/>
      <c r="E1175" s="67"/>
    </row>
    <row r="1176" spans="1:5" ht="14.25">
      <c r="A1176" s="67"/>
      <c r="B1176" s="67"/>
      <c r="C1176" s="67"/>
      <c r="D1176" s="67"/>
      <c r="E1176" s="67"/>
    </row>
    <row r="1177" spans="1:5" ht="14.25">
      <c r="A1177" s="67"/>
      <c r="B1177" s="67"/>
      <c r="C1177" s="67"/>
      <c r="D1177" s="67"/>
      <c r="E1177" s="67"/>
    </row>
    <row r="1178" spans="1:5" ht="14.25">
      <c r="A1178" s="67"/>
      <c r="B1178" s="67"/>
      <c r="C1178" s="67"/>
      <c r="D1178" s="67"/>
      <c r="E1178" s="67"/>
    </row>
    <row r="1179" spans="1:5" ht="15" customHeight="1">
      <c r="A1179" s="67"/>
      <c r="B1179" s="67"/>
      <c r="C1179" s="67"/>
      <c r="D1179" s="67"/>
      <c r="E1179" s="67"/>
    </row>
    <row r="1180" spans="1:5" ht="14.25">
      <c r="A1180" s="67"/>
      <c r="B1180" s="67"/>
      <c r="C1180" s="67"/>
      <c r="D1180" s="67"/>
      <c r="E1180" s="67"/>
    </row>
    <row r="1181" spans="1:5" ht="16.5" customHeight="1">
      <c r="A1181" s="67"/>
      <c r="B1181" s="67"/>
      <c r="C1181" s="67"/>
      <c r="D1181" s="67"/>
      <c r="E1181" s="67"/>
    </row>
    <row r="1182" spans="1:5" ht="15" customHeight="1">
      <c r="A1182" s="67"/>
      <c r="B1182" s="67"/>
      <c r="C1182" s="67"/>
      <c r="D1182" s="67"/>
      <c r="E1182" s="67"/>
    </row>
    <row r="1183" spans="1:5" ht="14.25">
      <c r="A1183" s="67"/>
      <c r="B1183" s="67"/>
      <c r="C1183" s="67"/>
      <c r="D1183" s="67"/>
      <c r="E1183" s="67"/>
    </row>
    <row r="1184" spans="1:5" ht="14.25">
      <c r="A1184" s="67"/>
      <c r="B1184" s="67"/>
      <c r="C1184" s="67"/>
      <c r="D1184" s="67"/>
      <c r="E1184" s="67"/>
    </row>
    <row r="1185" spans="1:5" ht="14.25">
      <c r="A1185" s="67"/>
      <c r="B1185" s="67"/>
      <c r="C1185" s="67"/>
      <c r="D1185" s="67"/>
      <c r="E1185" s="67"/>
    </row>
    <row r="1186" spans="1:5" s="30" customFormat="1" ht="14.25">
      <c r="A1186" s="67"/>
      <c r="B1186" s="67"/>
      <c r="C1186" s="67"/>
      <c r="D1186" s="67"/>
      <c r="E1186" s="67"/>
    </row>
    <row r="1187" spans="1:5" ht="15" customHeight="1">
      <c r="A1187" s="67"/>
      <c r="B1187" s="67"/>
      <c r="C1187" s="67"/>
      <c r="D1187" s="67"/>
      <c r="E1187" s="67"/>
    </row>
    <row r="1188" spans="1:5" ht="45.75" customHeight="1">
      <c r="A1188" s="67"/>
      <c r="B1188" s="67"/>
      <c r="C1188" s="67"/>
      <c r="D1188" s="67"/>
      <c r="E1188" s="67"/>
    </row>
    <row r="1189" spans="1:5" ht="14.25">
      <c r="A1189" s="67"/>
      <c r="B1189" s="67"/>
      <c r="C1189" s="67"/>
      <c r="D1189" s="67"/>
      <c r="E1189" s="67"/>
    </row>
    <row r="1190" spans="1:5" ht="14.25">
      <c r="A1190" s="67"/>
      <c r="B1190" s="67"/>
      <c r="C1190" s="67"/>
      <c r="D1190" s="67"/>
      <c r="E1190" s="67"/>
    </row>
    <row r="1191" spans="1:5" ht="14.25">
      <c r="A1191" s="67"/>
      <c r="B1191" s="67"/>
      <c r="C1191" s="67"/>
      <c r="D1191" s="67"/>
      <c r="E1191" s="67"/>
    </row>
    <row r="1192" spans="1:5" ht="14.25">
      <c r="A1192" s="67"/>
      <c r="B1192" s="67"/>
      <c r="C1192" s="67"/>
      <c r="D1192" s="67"/>
      <c r="E1192" s="67"/>
    </row>
    <row r="1193" spans="1:5" ht="14.25">
      <c r="A1193" s="67"/>
      <c r="B1193" s="67"/>
      <c r="C1193" s="67"/>
      <c r="D1193" s="67"/>
      <c r="E1193" s="67"/>
    </row>
    <row r="1194" spans="1:5" ht="14.25">
      <c r="A1194" s="67"/>
      <c r="B1194" s="67"/>
      <c r="C1194" s="67"/>
      <c r="D1194" s="67"/>
      <c r="E1194" s="67"/>
    </row>
    <row r="1195" spans="1:5" ht="14.25">
      <c r="A1195" s="67"/>
      <c r="B1195" s="67"/>
      <c r="C1195" s="67"/>
      <c r="D1195" s="67"/>
      <c r="E1195" s="67"/>
    </row>
    <row r="1196" spans="1:5" s="2" customFormat="1" ht="12.75">
      <c r="A1196" s="67"/>
      <c r="B1196" s="67"/>
      <c r="C1196" s="67"/>
      <c r="D1196" s="67"/>
      <c r="E1196" s="67"/>
    </row>
    <row r="1197" spans="1:5" s="30" customFormat="1" ht="14.25">
      <c r="A1197" s="67"/>
      <c r="B1197" s="67"/>
      <c r="C1197" s="67"/>
      <c r="D1197" s="67"/>
      <c r="E1197" s="67"/>
    </row>
    <row r="1198" spans="1:5" ht="14.25">
      <c r="A1198" s="67"/>
      <c r="B1198" s="67"/>
      <c r="C1198" s="67"/>
      <c r="D1198" s="67"/>
      <c r="E1198" s="67"/>
    </row>
    <row r="1199" spans="1:5" s="2" customFormat="1" ht="12.75">
      <c r="A1199" s="67"/>
      <c r="B1199" s="67"/>
      <c r="C1199" s="67"/>
      <c r="D1199" s="67"/>
      <c r="E1199" s="67"/>
    </row>
    <row r="1200" spans="1:5" s="2" customFormat="1" ht="12.75">
      <c r="A1200" s="67"/>
      <c r="B1200" s="67"/>
      <c r="C1200" s="67"/>
      <c r="D1200" s="67"/>
      <c r="E1200" s="67"/>
    </row>
    <row r="1201" spans="1:5" s="2" customFormat="1" ht="12.75" customHeight="1">
      <c r="A1201" s="67"/>
      <c r="B1201" s="67"/>
      <c r="C1201" s="67"/>
      <c r="D1201" s="67"/>
      <c r="E1201" s="67"/>
    </row>
    <row r="1202" spans="1:5" ht="14.25">
      <c r="A1202" s="67"/>
      <c r="B1202" s="67"/>
      <c r="C1202" s="67"/>
      <c r="D1202" s="67"/>
      <c r="E1202" s="67"/>
    </row>
    <row r="1203" spans="1:5" ht="14.25">
      <c r="A1203" s="67"/>
      <c r="B1203" s="67"/>
      <c r="C1203" s="67"/>
      <c r="D1203" s="67"/>
      <c r="E1203" s="67"/>
    </row>
    <row r="1204" spans="1:5" ht="14.25">
      <c r="A1204" s="67"/>
      <c r="B1204" s="67"/>
      <c r="C1204" s="67"/>
      <c r="D1204" s="67"/>
      <c r="E1204" s="67"/>
    </row>
    <row r="1205" spans="1:5" ht="14.25">
      <c r="A1205" s="67"/>
      <c r="B1205" s="67"/>
      <c r="C1205" s="67"/>
      <c r="D1205" s="67"/>
      <c r="E1205" s="67"/>
    </row>
    <row r="1206" spans="1:5" ht="14.25">
      <c r="A1206" s="67"/>
      <c r="B1206" s="67"/>
      <c r="C1206" s="67"/>
      <c r="D1206" s="67"/>
      <c r="E1206" s="67"/>
    </row>
    <row r="1207" spans="1:5" ht="14.25">
      <c r="A1207" s="67"/>
      <c r="B1207" s="67"/>
      <c r="C1207" s="67"/>
      <c r="D1207" s="67"/>
      <c r="E1207" s="67"/>
    </row>
    <row r="1208" spans="1:5" ht="14.25">
      <c r="A1208" s="67"/>
      <c r="B1208" s="67"/>
      <c r="C1208" s="67"/>
      <c r="D1208" s="67"/>
      <c r="E1208" s="67"/>
    </row>
    <row r="1209" spans="1:5" ht="14.25">
      <c r="A1209" s="67"/>
      <c r="B1209" s="67"/>
      <c r="C1209" s="67"/>
      <c r="D1209" s="67"/>
      <c r="E1209" s="67"/>
    </row>
    <row r="1210" spans="1:5" ht="14.25">
      <c r="A1210" s="67"/>
      <c r="B1210" s="67"/>
      <c r="C1210" s="67"/>
      <c r="D1210" s="67"/>
      <c r="E1210" s="67"/>
    </row>
    <row r="1211" spans="1:5" ht="15" customHeight="1">
      <c r="A1211" s="67"/>
      <c r="B1211" s="67"/>
      <c r="C1211" s="67"/>
      <c r="D1211" s="67"/>
      <c r="E1211" s="67"/>
    </row>
    <row r="1212" spans="1:5" ht="14.25">
      <c r="A1212" s="67"/>
      <c r="B1212" s="67"/>
      <c r="C1212" s="67"/>
      <c r="D1212" s="67"/>
      <c r="E1212" s="67"/>
    </row>
    <row r="1213" spans="1:5" ht="14.25">
      <c r="A1213" s="67"/>
      <c r="B1213" s="67"/>
      <c r="C1213" s="67"/>
      <c r="D1213" s="67"/>
      <c r="E1213" s="67"/>
    </row>
    <row r="1214" spans="1:5" ht="15" customHeight="1">
      <c r="A1214" s="67"/>
      <c r="B1214" s="67"/>
      <c r="C1214" s="67"/>
      <c r="D1214" s="67"/>
      <c r="E1214" s="67"/>
    </row>
    <row r="1215" spans="1:5" ht="14.25">
      <c r="A1215" s="67"/>
      <c r="B1215" s="67"/>
      <c r="C1215" s="67"/>
      <c r="D1215" s="67"/>
      <c r="E1215" s="67"/>
    </row>
    <row r="1216" spans="1:5" ht="16.5" customHeight="1">
      <c r="A1216" s="67"/>
      <c r="B1216" s="67"/>
      <c r="C1216" s="67"/>
      <c r="D1216" s="67"/>
      <c r="E1216" s="67"/>
    </row>
    <row r="1217" spans="1:5" ht="15" customHeight="1">
      <c r="A1217" s="67"/>
      <c r="B1217" s="67"/>
      <c r="C1217" s="67"/>
      <c r="D1217" s="67"/>
      <c r="E1217" s="67"/>
    </row>
    <row r="1218" spans="1:5" ht="14.25">
      <c r="A1218" s="67"/>
      <c r="B1218" s="67"/>
      <c r="C1218" s="67"/>
      <c r="D1218" s="67"/>
      <c r="E1218" s="67"/>
    </row>
    <row r="1219" spans="1:5" ht="14.25">
      <c r="A1219" s="67"/>
      <c r="B1219" s="67"/>
      <c r="C1219" s="67"/>
      <c r="D1219" s="67"/>
      <c r="E1219" s="67"/>
    </row>
    <row r="1220" spans="1:5" ht="14.25">
      <c r="A1220" s="67"/>
      <c r="B1220" s="67"/>
      <c r="C1220" s="67"/>
      <c r="D1220" s="67"/>
      <c r="E1220" s="67"/>
    </row>
    <row r="1221" spans="1:5" s="30" customFormat="1" ht="14.25">
      <c r="A1221" s="67"/>
      <c r="B1221" s="67"/>
      <c r="C1221" s="67"/>
      <c r="D1221" s="67"/>
      <c r="E1221" s="67"/>
    </row>
    <row r="1222" spans="1:5" ht="15" customHeight="1">
      <c r="A1222" s="67"/>
      <c r="B1222" s="67"/>
      <c r="C1222" s="67"/>
      <c r="D1222" s="67"/>
      <c r="E1222" s="67"/>
    </row>
    <row r="1223" spans="1:5" ht="45.75" customHeight="1">
      <c r="A1223" s="67"/>
      <c r="B1223" s="67"/>
      <c r="C1223" s="67"/>
      <c r="D1223" s="67"/>
      <c r="E1223" s="67"/>
    </row>
    <row r="1224" spans="1:5" ht="14.25">
      <c r="A1224" s="67"/>
      <c r="B1224" s="67"/>
      <c r="C1224" s="67"/>
      <c r="D1224" s="67"/>
      <c r="E1224" s="67"/>
    </row>
    <row r="1225" spans="1:5" ht="14.25">
      <c r="A1225" s="67"/>
      <c r="B1225" s="67"/>
      <c r="C1225" s="67"/>
      <c r="D1225" s="67"/>
      <c r="E1225" s="67"/>
    </row>
    <row r="1226" spans="1:5" ht="14.25">
      <c r="A1226" s="67"/>
      <c r="B1226" s="67"/>
      <c r="C1226" s="67"/>
      <c r="D1226" s="67"/>
      <c r="E1226" s="67"/>
    </row>
    <row r="1227" spans="1:5" ht="14.25">
      <c r="A1227" s="67"/>
      <c r="B1227" s="67"/>
      <c r="C1227" s="67"/>
      <c r="D1227" s="67"/>
      <c r="E1227" s="67"/>
    </row>
    <row r="1228" spans="1:5" ht="14.25">
      <c r="A1228" s="67"/>
      <c r="B1228" s="67"/>
      <c r="C1228" s="67"/>
      <c r="D1228" s="67"/>
      <c r="E1228" s="67"/>
    </row>
    <row r="1229" spans="1:5" ht="14.25">
      <c r="A1229" s="67"/>
      <c r="B1229" s="67"/>
      <c r="C1229" s="67"/>
      <c r="D1229" s="67"/>
      <c r="E1229" s="67"/>
    </row>
    <row r="1230" spans="1:5" ht="14.25">
      <c r="A1230" s="67"/>
      <c r="B1230" s="67"/>
      <c r="C1230" s="67"/>
      <c r="D1230" s="67"/>
      <c r="E1230" s="67"/>
    </row>
    <row r="1231" spans="1:5" ht="14.25">
      <c r="A1231" s="67"/>
      <c r="B1231" s="67"/>
      <c r="C1231" s="67"/>
      <c r="D1231" s="67"/>
      <c r="E1231" s="67"/>
    </row>
    <row r="1232" spans="1:5" ht="14.25">
      <c r="A1232" s="67"/>
      <c r="B1232" s="67"/>
      <c r="C1232" s="67"/>
      <c r="D1232" s="67"/>
      <c r="E1232" s="67"/>
    </row>
    <row r="1233" spans="1:5" ht="14.25">
      <c r="A1233" s="67"/>
      <c r="B1233" s="67"/>
      <c r="C1233" s="67"/>
      <c r="D1233" s="67"/>
      <c r="E1233" s="67"/>
    </row>
    <row r="1234" spans="1:5" ht="14.25">
      <c r="A1234" s="67"/>
      <c r="B1234" s="67"/>
      <c r="C1234" s="67"/>
      <c r="D1234" s="67"/>
      <c r="E1234" s="67"/>
    </row>
    <row r="1235" spans="1:5" ht="14.25">
      <c r="A1235" s="67"/>
      <c r="B1235" s="67"/>
      <c r="C1235" s="67"/>
      <c r="D1235" s="67"/>
      <c r="E1235" s="67"/>
    </row>
    <row r="1236" spans="1:5" s="2" customFormat="1" ht="12.75">
      <c r="A1236" s="67"/>
      <c r="B1236" s="67"/>
      <c r="C1236" s="67"/>
      <c r="D1236" s="67"/>
      <c r="E1236" s="67"/>
    </row>
    <row r="1237" spans="1:5" ht="14.25">
      <c r="A1237" s="67"/>
      <c r="B1237" s="67"/>
      <c r="C1237" s="67"/>
      <c r="D1237" s="67"/>
      <c r="E1237" s="67"/>
    </row>
    <row r="1238" spans="1:5" s="2" customFormat="1" ht="12.75">
      <c r="A1238" s="67"/>
      <c r="B1238" s="67"/>
      <c r="C1238" s="67"/>
      <c r="D1238" s="67"/>
      <c r="E1238" s="67"/>
    </row>
    <row r="1239" spans="1:5" s="2" customFormat="1" ht="12.75">
      <c r="A1239" s="67"/>
      <c r="B1239" s="67"/>
      <c r="C1239" s="67"/>
      <c r="D1239" s="67"/>
      <c r="E1239" s="67"/>
    </row>
    <row r="1240" spans="1:5" s="2" customFormat="1" ht="12.75" customHeight="1">
      <c r="A1240" s="67"/>
      <c r="B1240" s="67"/>
      <c r="C1240" s="67"/>
      <c r="D1240" s="67"/>
      <c r="E1240" s="67"/>
    </row>
    <row r="1241" spans="1:5" ht="14.25">
      <c r="A1241" s="67"/>
      <c r="B1241" s="67"/>
      <c r="C1241" s="67"/>
      <c r="D1241" s="67"/>
      <c r="E1241" s="67"/>
    </row>
    <row r="1242" spans="1:5" ht="14.25">
      <c r="A1242" s="67"/>
      <c r="B1242" s="67"/>
      <c r="C1242" s="67"/>
      <c r="D1242" s="67"/>
      <c r="E1242" s="67"/>
    </row>
    <row r="1243" spans="1:5" ht="14.25">
      <c r="A1243" s="67"/>
      <c r="B1243" s="67"/>
      <c r="C1243" s="67"/>
      <c r="D1243" s="67"/>
      <c r="E1243" s="67"/>
    </row>
    <row r="1244" spans="1:5" ht="14.25">
      <c r="A1244" s="67"/>
      <c r="B1244" s="67"/>
      <c r="C1244" s="67"/>
      <c r="D1244" s="67"/>
      <c r="E1244" s="67"/>
    </row>
    <row r="1245" spans="1:5" ht="14.25">
      <c r="A1245" s="67"/>
      <c r="B1245" s="67"/>
      <c r="C1245" s="67"/>
      <c r="D1245" s="67"/>
      <c r="E1245" s="67"/>
    </row>
    <row r="1246" spans="1:5" ht="14.25">
      <c r="A1246" s="67"/>
      <c r="B1246" s="67"/>
      <c r="C1246" s="67"/>
      <c r="D1246" s="67"/>
      <c r="E1246" s="67"/>
    </row>
    <row r="1247" spans="1:5" ht="14.25">
      <c r="A1247" s="67"/>
      <c r="B1247" s="67"/>
      <c r="C1247" s="67"/>
      <c r="D1247" s="67"/>
      <c r="E1247" s="67"/>
    </row>
    <row r="1248" spans="1:5" ht="14.25">
      <c r="A1248" s="67"/>
      <c r="B1248" s="67"/>
      <c r="C1248" s="67"/>
      <c r="D1248" s="67"/>
      <c r="E1248" s="67"/>
    </row>
    <row r="1249" spans="1:5" ht="14.25">
      <c r="A1249" s="67"/>
      <c r="B1249" s="67"/>
      <c r="C1249" s="67"/>
      <c r="D1249" s="67"/>
      <c r="E1249" s="67"/>
    </row>
    <row r="1250" spans="1:5" ht="15" customHeight="1">
      <c r="A1250" s="67"/>
      <c r="B1250" s="67"/>
      <c r="C1250" s="67"/>
      <c r="D1250" s="67"/>
      <c r="E1250" s="67"/>
    </row>
    <row r="1251" spans="1:5" ht="14.25">
      <c r="A1251" s="67"/>
      <c r="B1251" s="67"/>
      <c r="C1251" s="67"/>
      <c r="D1251" s="67"/>
      <c r="E1251" s="67"/>
    </row>
    <row r="1252" spans="1:5" ht="16.5" customHeight="1">
      <c r="A1252" s="67"/>
      <c r="B1252" s="67"/>
      <c r="C1252" s="67"/>
      <c r="D1252" s="67"/>
      <c r="E1252" s="67"/>
    </row>
    <row r="1253" spans="1:5" ht="15" customHeight="1">
      <c r="A1253" s="67"/>
      <c r="B1253" s="67"/>
      <c r="C1253" s="67"/>
      <c r="D1253" s="67"/>
      <c r="E1253" s="67"/>
    </row>
    <row r="1254" spans="1:5" ht="14.25">
      <c r="A1254" s="67"/>
      <c r="B1254" s="67"/>
      <c r="C1254" s="67"/>
      <c r="D1254" s="67"/>
      <c r="E1254" s="67"/>
    </row>
    <row r="1255" spans="1:5" ht="14.25">
      <c r="A1255" s="67"/>
      <c r="B1255" s="67"/>
      <c r="C1255" s="67"/>
      <c r="D1255" s="67"/>
      <c r="E1255" s="67"/>
    </row>
    <row r="1256" spans="1:5" ht="14.25">
      <c r="A1256" s="67"/>
      <c r="B1256" s="67"/>
      <c r="C1256" s="67"/>
      <c r="D1256" s="67"/>
      <c r="E1256" s="67"/>
    </row>
    <row r="1257" spans="1:5" s="30" customFormat="1" ht="14.25">
      <c r="A1257" s="67"/>
      <c r="B1257" s="67"/>
      <c r="C1257" s="67"/>
      <c r="D1257" s="67"/>
      <c r="E1257" s="67"/>
    </row>
    <row r="1258" spans="1:5" ht="15" customHeight="1">
      <c r="A1258" s="67"/>
      <c r="B1258" s="67"/>
      <c r="C1258" s="67"/>
      <c r="D1258" s="67"/>
      <c r="E1258" s="67"/>
    </row>
    <row r="1259" spans="1:5" ht="50.25" customHeight="1">
      <c r="A1259" s="67"/>
      <c r="B1259" s="67"/>
      <c r="C1259" s="67"/>
      <c r="D1259" s="67"/>
      <c r="E1259" s="67"/>
    </row>
    <row r="1260" spans="1:5" ht="14.25">
      <c r="A1260" s="67"/>
      <c r="B1260" s="67"/>
      <c r="C1260" s="67"/>
      <c r="D1260" s="67"/>
      <c r="E1260" s="67"/>
    </row>
    <row r="1261" spans="1:5" ht="14.25">
      <c r="A1261" s="67"/>
      <c r="B1261" s="67"/>
      <c r="C1261" s="67"/>
      <c r="D1261" s="67"/>
      <c r="E1261" s="67"/>
    </row>
    <row r="1262" spans="1:5" ht="14.25">
      <c r="A1262" s="67"/>
      <c r="B1262" s="67"/>
      <c r="C1262" s="67"/>
      <c r="D1262" s="67"/>
      <c r="E1262" s="67"/>
    </row>
    <row r="1263" spans="1:5" ht="14.25">
      <c r="A1263" s="67"/>
      <c r="B1263" s="67"/>
      <c r="C1263" s="67"/>
      <c r="D1263" s="67"/>
      <c r="E1263" s="67"/>
    </row>
    <row r="1264" spans="1:5" ht="14.25">
      <c r="A1264" s="67"/>
      <c r="B1264" s="67"/>
      <c r="C1264" s="67"/>
      <c r="D1264" s="67"/>
      <c r="E1264" s="67"/>
    </row>
    <row r="1265" spans="1:5" ht="14.25">
      <c r="A1265" s="67"/>
      <c r="B1265" s="67"/>
      <c r="C1265" s="67"/>
      <c r="D1265" s="67"/>
      <c r="E1265" s="67"/>
    </row>
    <row r="1266" spans="1:5" ht="14.25">
      <c r="A1266" s="67"/>
      <c r="B1266" s="67"/>
      <c r="C1266" s="67"/>
      <c r="D1266" s="67"/>
      <c r="E1266" s="67"/>
    </row>
    <row r="1267" spans="1:5" s="2" customFormat="1" ht="12.75">
      <c r="A1267" s="67"/>
      <c r="B1267" s="67"/>
      <c r="C1267" s="67"/>
      <c r="D1267" s="67"/>
      <c r="E1267" s="67"/>
    </row>
    <row r="1268" spans="1:5" ht="14.25">
      <c r="A1268" s="67"/>
      <c r="B1268" s="67"/>
      <c r="C1268" s="67"/>
      <c r="D1268" s="67"/>
      <c r="E1268" s="67"/>
    </row>
    <row r="1269" spans="1:5" s="2" customFormat="1" ht="12.75">
      <c r="A1269" s="67"/>
      <c r="B1269" s="67"/>
      <c r="C1269" s="67"/>
      <c r="D1269" s="67"/>
      <c r="E1269" s="67"/>
    </row>
    <row r="1270" spans="1:5" s="2" customFormat="1" ht="12.75">
      <c r="A1270" s="67"/>
      <c r="B1270" s="67"/>
      <c r="C1270" s="67"/>
      <c r="D1270" s="67"/>
      <c r="E1270" s="67"/>
    </row>
    <row r="1271" spans="1:5" s="2" customFormat="1" ht="12.75" customHeight="1">
      <c r="A1271" s="67"/>
      <c r="B1271" s="67"/>
      <c r="C1271" s="67"/>
      <c r="D1271" s="67"/>
      <c r="E1271" s="67"/>
    </row>
    <row r="1272" spans="1:5" ht="14.25">
      <c r="A1272" s="67"/>
      <c r="B1272" s="67"/>
      <c r="C1272" s="67"/>
      <c r="D1272" s="67"/>
      <c r="E1272" s="67"/>
    </row>
    <row r="1273" spans="1:5" ht="14.25">
      <c r="A1273" s="67"/>
      <c r="B1273" s="67"/>
      <c r="C1273" s="67"/>
      <c r="D1273" s="67"/>
      <c r="E1273" s="67"/>
    </row>
    <row r="1274" spans="1:5" ht="14.25">
      <c r="A1274" s="67"/>
      <c r="B1274" s="67"/>
      <c r="C1274" s="67"/>
      <c r="D1274" s="67"/>
      <c r="E1274" s="67"/>
    </row>
    <row r="1275" spans="1:5" ht="14.25">
      <c r="A1275" s="67"/>
      <c r="B1275" s="67"/>
      <c r="C1275" s="67"/>
      <c r="D1275" s="67"/>
      <c r="E1275" s="67"/>
    </row>
    <row r="1276" spans="1:5" ht="14.25">
      <c r="A1276" s="67"/>
      <c r="B1276" s="67"/>
      <c r="C1276" s="67"/>
      <c r="D1276" s="67"/>
      <c r="E1276" s="67"/>
    </row>
    <row r="1277" spans="1:5" ht="14.25">
      <c r="A1277" s="67"/>
      <c r="B1277" s="67"/>
      <c r="C1277" s="67"/>
      <c r="D1277" s="67"/>
      <c r="E1277" s="67"/>
    </row>
    <row r="1278" spans="1:5" ht="14.25">
      <c r="A1278" s="67"/>
      <c r="B1278" s="67"/>
      <c r="C1278" s="67"/>
      <c r="D1278" s="67"/>
      <c r="E1278" s="67"/>
    </row>
    <row r="1279" spans="1:5" ht="14.25">
      <c r="A1279" s="67"/>
      <c r="B1279" s="67"/>
      <c r="C1279" s="67"/>
      <c r="D1279" s="67"/>
      <c r="E1279" s="67"/>
    </row>
    <row r="1280" spans="1:5" ht="14.25">
      <c r="A1280" s="67"/>
      <c r="B1280" s="67"/>
      <c r="C1280" s="67"/>
      <c r="D1280" s="67"/>
      <c r="E1280" s="67"/>
    </row>
    <row r="1281" spans="1:5" ht="15" customHeight="1">
      <c r="A1281" s="67"/>
      <c r="B1281" s="67"/>
      <c r="C1281" s="67"/>
      <c r="D1281" s="67"/>
      <c r="E1281" s="67"/>
    </row>
    <row r="1282" spans="1:5" ht="14.25">
      <c r="A1282" s="67"/>
      <c r="B1282" s="67"/>
      <c r="C1282" s="67"/>
      <c r="D1282" s="67"/>
      <c r="E1282" s="67"/>
    </row>
    <row r="1283" spans="1:5" ht="16.5" customHeight="1">
      <c r="A1283" s="67"/>
      <c r="B1283" s="67"/>
      <c r="C1283" s="67"/>
      <c r="D1283" s="67"/>
      <c r="E1283" s="67"/>
    </row>
    <row r="1284" spans="1:5" ht="15" customHeight="1">
      <c r="A1284" s="67"/>
      <c r="B1284" s="67"/>
      <c r="C1284" s="67"/>
      <c r="D1284" s="67"/>
      <c r="E1284" s="67"/>
    </row>
    <row r="1285" spans="1:5" ht="14.25">
      <c r="A1285" s="67"/>
      <c r="B1285" s="67"/>
      <c r="C1285" s="67"/>
      <c r="D1285" s="67"/>
      <c r="E1285" s="67"/>
    </row>
    <row r="1286" spans="1:5" ht="14.25">
      <c r="A1286" s="67"/>
      <c r="B1286" s="67"/>
      <c r="C1286" s="67"/>
      <c r="D1286" s="67"/>
      <c r="E1286" s="67"/>
    </row>
    <row r="1287" spans="1:5" ht="14.25">
      <c r="A1287" s="67"/>
      <c r="B1287" s="67"/>
      <c r="C1287" s="67"/>
      <c r="D1287" s="67"/>
      <c r="E1287" s="67"/>
    </row>
    <row r="1288" spans="1:5" s="30" customFormat="1" ht="14.25">
      <c r="A1288" s="67"/>
      <c r="B1288" s="67"/>
      <c r="C1288" s="67"/>
      <c r="D1288" s="67"/>
      <c r="E1288" s="67"/>
    </row>
    <row r="1289" spans="1:5" ht="15" customHeight="1">
      <c r="A1289" s="67"/>
      <c r="B1289" s="67"/>
      <c r="C1289" s="67"/>
      <c r="D1289" s="67"/>
      <c r="E1289" s="67"/>
    </row>
    <row r="1290" spans="1:5" ht="46.5" customHeight="1">
      <c r="A1290" s="67"/>
      <c r="B1290" s="67"/>
      <c r="C1290" s="67"/>
      <c r="D1290" s="67"/>
      <c r="E1290" s="67"/>
    </row>
    <row r="1291" spans="1:5" ht="14.25">
      <c r="A1291" s="67"/>
      <c r="B1291" s="67"/>
      <c r="C1291" s="67"/>
      <c r="D1291" s="67"/>
      <c r="E1291" s="67"/>
    </row>
    <row r="1292" spans="1:5" ht="14.25">
      <c r="A1292" s="67"/>
      <c r="B1292" s="67"/>
      <c r="C1292" s="67"/>
      <c r="D1292" s="67"/>
      <c r="E1292" s="67"/>
    </row>
    <row r="1293" spans="1:5" ht="14.25">
      <c r="A1293" s="67"/>
      <c r="B1293" s="67"/>
      <c r="C1293" s="67"/>
      <c r="D1293" s="67"/>
      <c r="E1293" s="67"/>
    </row>
    <row r="1294" spans="1:5" ht="14.25">
      <c r="A1294" s="67"/>
      <c r="B1294" s="67"/>
      <c r="C1294" s="67"/>
      <c r="D1294" s="67"/>
      <c r="E1294" s="67"/>
    </row>
    <row r="1295" spans="1:5" ht="14.25">
      <c r="A1295" s="67"/>
      <c r="B1295" s="67"/>
      <c r="C1295" s="67"/>
      <c r="D1295" s="67"/>
      <c r="E1295" s="67"/>
    </row>
    <row r="1296" spans="1:5" ht="14.25">
      <c r="A1296" s="67"/>
      <c r="B1296" s="67"/>
      <c r="C1296" s="67"/>
      <c r="D1296" s="67"/>
      <c r="E1296" s="67"/>
    </row>
    <row r="1297" spans="1:5" ht="14.25">
      <c r="A1297" s="67"/>
      <c r="B1297" s="67"/>
      <c r="C1297" s="67"/>
      <c r="D1297" s="67"/>
      <c r="E1297" s="67"/>
    </row>
    <row r="1298" spans="1:5" ht="14.25">
      <c r="A1298" s="67"/>
      <c r="B1298" s="67"/>
      <c r="C1298" s="67"/>
      <c r="D1298" s="67"/>
      <c r="E1298" s="67"/>
    </row>
    <row r="1299" spans="1:5" ht="14.25">
      <c r="A1299" s="67"/>
      <c r="B1299" s="67"/>
      <c r="C1299" s="67"/>
      <c r="D1299" s="67"/>
      <c r="E1299" s="67"/>
    </row>
    <row r="1300" spans="1:5" s="2" customFormat="1" ht="12.75">
      <c r="A1300" s="67"/>
      <c r="B1300" s="67"/>
      <c r="C1300" s="67"/>
      <c r="D1300" s="67"/>
      <c r="E1300" s="67"/>
    </row>
    <row r="1301" spans="1:5" ht="14.25">
      <c r="A1301" s="67"/>
      <c r="B1301" s="67"/>
      <c r="C1301" s="67"/>
      <c r="D1301" s="67"/>
      <c r="E1301" s="67"/>
    </row>
    <row r="1302" spans="1:5" s="2" customFormat="1" ht="12.75">
      <c r="A1302" s="67"/>
      <c r="B1302" s="67"/>
      <c r="C1302" s="67"/>
      <c r="D1302" s="67"/>
      <c r="E1302" s="67"/>
    </row>
    <row r="1303" spans="1:5" s="2" customFormat="1" ht="12.75">
      <c r="A1303" s="67"/>
      <c r="B1303" s="67"/>
      <c r="C1303" s="67"/>
      <c r="D1303" s="67"/>
      <c r="E1303" s="67"/>
    </row>
    <row r="1304" spans="1:5" s="2" customFormat="1" ht="12.75" customHeight="1">
      <c r="A1304" s="67"/>
      <c r="B1304" s="67"/>
      <c r="C1304" s="67"/>
      <c r="D1304" s="67"/>
      <c r="E1304" s="67"/>
    </row>
    <row r="1305" spans="1:5" ht="14.25">
      <c r="A1305" s="67"/>
      <c r="B1305" s="67"/>
      <c r="C1305" s="67"/>
      <c r="D1305" s="67"/>
      <c r="E1305" s="67"/>
    </row>
    <row r="1306" spans="1:5" ht="14.25">
      <c r="A1306" s="67"/>
      <c r="B1306" s="67"/>
      <c r="C1306" s="67"/>
      <c r="D1306" s="67"/>
      <c r="E1306" s="67"/>
    </row>
    <row r="1307" spans="1:5" ht="14.25">
      <c r="A1307" s="67"/>
      <c r="B1307" s="67"/>
      <c r="C1307" s="67"/>
      <c r="D1307" s="67"/>
      <c r="E1307" s="67"/>
    </row>
    <row r="1308" spans="1:5" ht="14.25">
      <c r="A1308" s="67"/>
      <c r="B1308" s="67"/>
      <c r="C1308" s="67"/>
      <c r="D1308" s="67"/>
      <c r="E1308" s="67"/>
    </row>
    <row r="1309" spans="1:5" ht="14.25">
      <c r="A1309" s="67"/>
      <c r="B1309" s="67"/>
      <c r="C1309" s="67"/>
      <c r="D1309" s="67"/>
      <c r="E1309" s="67"/>
    </row>
    <row r="1310" spans="1:5" ht="14.25">
      <c r="A1310" s="67"/>
      <c r="B1310" s="67"/>
      <c r="C1310" s="67"/>
      <c r="D1310" s="67"/>
      <c r="E1310" s="67"/>
    </row>
    <row r="1311" spans="1:5" ht="14.25">
      <c r="A1311" s="67"/>
      <c r="B1311" s="67"/>
      <c r="C1311" s="67"/>
      <c r="D1311" s="67"/>
      <c r="E1311" s="67"/>
    </row>
    <row r="1312" spans="1:5" ht="14.25">
      <c r="A1312" s="67"/>
      <c r="B1312" s="67"/>
      <c r="C1312" s="67"/>
      <c r="D1312" s="67"/>
      <c r="E1312" s="67"/>
    </row>
    <row r="1313" spans="1:5" ht="14.25">
      <c r="A1313" s="67"/>
      <c r="B1313" s="67"/>
      <c r="C1313" s="67"/>
      <c r="D1313" s="67"/>
      <c r="E1313" s="67"/>
    </row>
    <row r="1314" spans="1:5" ht="15" customHeight="1">
      <c r="A1314" s="67"/>
      <c r="B1314" s="67"/>
      <c r="C1314" s="67"/>
      <c r="D1314" s="67"/>
      <c r="E1314" s="67"/>
    </row>
    <row r="1315" spans="1:5" ht="14.25">
      <c r="A1315" s="67"/>
      <c r="B1315" s="67"/>
      <c r="C1315" s="67"/>
      <c r="D1315" s="67"/>
      <c r="E1315" s="67"/>
    </row>
    <row r="1316" spans="1:5" ht="16.5" customHeight="1">
      <c r="A1316" s="67"/>
      <c r="B1316" s="67"/>
      <c r="C1316" s="67"/>
      <c r="D1316" s="67"/>
      <c r="E1316" s="67"/>
    </row>
    <row r="1317" spans="1:5" ht="15" customHeight="1">
      <c r="A1317" s="67"/>
      <c r="B1317" s="67"/>
      <c r="C1317" s="67"/>
      <c r="D1317" s="67"/>
      <c r="E1317" s="67"/>
    </row>
    <row r="1318" spans="1:5" ht="14.25">
      <c r="A1318" s="67"/>
      <c r="B1318" s="67"/>
      <c r="C1318" s="67"/>
      <c r="D1318" s="67"/>
      <c r="E1318" s="67"/>
    </row>
    <row r="1319" spans="1:5" ht="14.25">
      <c r="A1319" s="67"/>
      <c r="B1319" s="67"/>
      <c r="C1319" s="67"/>
      <c r="D1319" s="67"/>
      <c r="E1319" s="67"/>
    </row>
    <row r="1320" spans="1:5" ht="14.25">
      <c r="A1320" s="67"/>
      <c r="B1320" s="67"/>
      <c r="C1320" s="67"/>
      <c r="D1320" s="67"/>
      <c r="E1320" s="67"/>
    </row>
    <row r="1321" spans="1:5" s="30" customFormat="1" ht="14.25">
      <c r="A1321" s="67"/>
      <c r="B1321" s="67"/>
      <c r="C1321" s="67"/>
      <c r="D1321" s="67"/>
      <c r="E1321" s="67"/>
    </row>
    <row r="1322" spans="1:5" ht="15" customHeight="1">
      <c r="A1322" s="67"/>
      <c r="B1322" s="67"/>
      <c r="C1322" s="67"/>
      <c r="D1322" s="67"/>
      <c r="E1322" s="67"/>
    </row>
    <row r="1323" spans="1:5" ht="45" customHeight="1">
      <c r="A1323" s="67"/>
      <c r="B1323" s="67"/>
      <c r="C1323" s="67"/>
      <c r="D1323" s="67"/>
      <c r="E1323" s="67"/>
    </row>
    <row r="1324" spans="1:5" ht="14.25">
      <c r="A1324" s="67"/>
      <c r="B1324" s="67"/>
      <c r="C1324" s="67"/>
      <c r="D1324" s="67"/>
      <c r="E1324" s="67"/>
    </row>
    <row r="1325" spans="1:5" ht="14.25">
      <c r="A1325" s="67"/>
      <c r="B1325" s="67"/>
      <c r="C1325" s="67"/>
      <c r="D1325" s="67"/>
      <c r="E1325" s="67"/>
    </row>
    <row r="1326" spans="1:5" ht="14.25">
      <c r="A1326" s="67"/>
      <c r="B1326" s="67"/>
      <c r="C1326" s="67"/>
      <c r="D1326" s="67"/>
      <c r="E1326" s="67"/>
    </row>
    <row r="1327" spans="1:5" ht="14.25">
      <c r="A1327" s="67"/>
      <c r="B1327" s="67"/>
      <c r="C1327" s="67"/>
      <c r="D1327" s="67"/>
      <c r="E1327" s="67"/>
    </row>
    <row r="1328" spans="1:5" ht="14.25">
      <c r="A1328" s="67"/>
      <c r="B1328" s="67"/>
      <c r="C1328" s="67"/>
      <c r="D1328" s="67"/>
      <c r="E1328" s="67"/>
    </row>
    <row r="1329" spans="1:5" ht="14.25">
      <c r="A1329" s="67"/>
      <c r="B1329" s="67"/>
      <c r="C1329" s="67"/>
      <c r="D1329" s="67"/>
      <c r="E1329" s="67"/>
    </row>
    <row r="1330" spans="1:5" ht="14.25">
      <c r="A1330" s="67"/>
      <c r="B1330" s="67"/>
      <c r="C1330" s="67"/>
      <c r="D1330" s="67"/>
      <c r="E1330" s="67"/>
    </row>
    <row r="1331" spans="1:5" s="2" customFormat="1" ht="12.75">
      <c r="A1331" s="67"/>
      <c r="B1331" s="67"/>
      <c r="C1331" s="67"/>
      <c r="D1331" s="67"/>
      <c r="E1331" s="67"/>
    </row>
    <row r="1332" spans="1:5" ht="14.25">
      <c r="A1332" s="67"/>
      <c r="B1332" s="67"/>
      <c r="C1332" s="67"/>
      <c r="D1332" s="67"/>
      <c r="E1332" s="67"/>
    </row>
    <row r="1333" spans="1:5" s="2" customFormat="1" ht="12.75">
      <c r="A1333" s="67"/>
      <c r="B1333" s="67"/>
      <c r="C1333" s="67"/>
      <c r="D1333" s="67"/>
      <c r="E1333" s="67"/>
    </row>
    <row r="1334" spans="1:5" s="2" customFormat="1" ht="12.75">
      <c r="A1334" s="67"/>
      <c r="B1334" s="67"/>
      <c r="C1334" s="67"/>
      <c r="D1334" s="67"/>
      <c r="E1334" s="67"/>
    </row>
    <row r="1335" spans="1:5" s="2" customFormat="1" ht="12.75" customHeight="1">
      <c r="A1335" s="67"/>
      <c r="B1335" s="67"/>
      <c r="C1335" s="67"/>
      <c r="D1335" s="67"/>
      <c r="E1335" s="67"/>
    </row>
    <row r="1336" spans="1:5" ht="14.25">
      <c r="A1336" s="67"/>
      <c r="B1336" s="67"/>
      <c r="C1336" s="67"/>
      <c r="D1336" s="67"/>
      <c r="E1336" s="67"/>
    </row>
    <row r="1337" spans="1:5" ht="14.25">
      <c r="A1337" s="67"/>
      <c r="B1337" s="67"/>
      <c r="C1337" s="67"/>
      <c r="D1337" s="67"/>
      <c r="E1337" s="67"/>
    </row>
    <row r="1338" spans="1:5" ht="14.25">
      <c r="A1338" s="67"/>
      <c r="B1338" s="67"/>
      <c r="C1338" s="67"/>
      <c r="D1338" s="67"/>
      <c r="E1338" s="67"/>
    </row>
    <row r="1339" spans="1:5" ht="14.25">
      <c r="A1339" s="67"/>
      <c r="B1339" s="67"/>
      <c r="C1339" s="67"/>
      <c r="D1339" s="67"/>
      <c r="E1339" s="67"/>
    </row>
    <row r="1340" spans="1:5" ht="14.25">
      <c r="A1340" s="67"/>
      <c r="B1340" s="67"/>
      <c r="C1340" s="67"/>
      <c r="D1340" s="67"/>
      <c r="E1340" s="67"/>
    </row>
    <row r="1341" spans="1:5" ht="14.25">
      <c r="A1341" s="67"/>
      <c r="B1341" s="67"/>
      <c r="C1341" s="67"/>
      <c r="D1341" s="67"/>
      <c r="E1341" s="67"/>
    </row>
    <row r="1342" spans="1:5" ht="14.25">
      <c r="A1342" s="67"/>
      <c r="B1342" s="67"/>
      <c r="C1342" s="67"/>
      <c r="D1342" s="67"/>
      <c r="E1342" s="67"/>
    </row>
    <row r="1343" spans="1:5" ht="14.25">
      <c r="A1343" s="67"/>
      <c r="B1343" s="67"/>
      <c r="C1343" s="67"/>
      <c r="D1343" s="67"/>
      <c r="E1343" s="67"/>
    </row>
    <row r="1344" spans="1:5" ht="14.25">
      <c r="A1344" s="67"/>
      <c r="B1344" s="67"/>
      <c r="C1344" s="67"/>
      <c r="D1344" s="67"/>
      <c r="E1344" s="67"/>
    </row>
    <row r="1345" spans="1:5" ht="15" customHeight="1">
      <c r="A1345" s="67"/>
      <c r="B1345" s="67"/>
      <c r="C1345" s="67"/>
      <c r="D1345" s="67"/>
      <c r="E1345" s="67"/>
    </row>
    <row r="1346" spans="1:5" ht="14.25">
      <c r="A1346" s="67"/>
      <c r="B1346" s="67"/>
      <c r="C1346" s="67"/>
      <c r="D1346" s="67"/>
      <c r="E1346" s="67"/>
    </row>
    <row r="1347" spans="1:5" ht="16.5" customHeight="1">
      <c r="A1347" s="67"/>
      <c r="B1347" s="67"/>
      <c r="C1347" s="67"/>
      <c r="D1347" s="67"/>
      <c r="E1347" s="67"/>
    </row>
    <row r="1348" spans="1:5" ht="15" customHeight="1">
      <c r="A1348" s="67"/>
      <c r="B1348" s="67"/>
      <c r="C1348" s="67"/>
      <c r="D1348" s="67"/>
      <c r="E1348" s="67"/>
    </row>
    <row r="1349" spans="1:5" ht="14.25">
      <c r="A1349" s="67"/>
      <c r="B1349" s="67"/>
      <c r="C1349" s="67"/>
      <c r="D1349" s="67"/>
      <c r="E1349" s="67"/>
    </row>
    <row r="1350" spans="1:5" ht="14.25">
      <c r="A1350" s="67"/>
      <c r="B1350" s="67"/>
      <c r="C1350" s="67"/>
      <c r="D1350" s="67"/>
      <c r="E1350" s="67"/>
    </row>
    <row r="1351" spans="1:5" ht="14.25">
      <c r="A1351" s="67"/>
      <c r="B1351" s="67"/>
      <c r="C1351" s="67"/>
      <c r="D1351" s="67"/>
      <c r="E1351" s="67"/>
    </row>
    <row r="1352" spans="1:5" s="30" customFormat="1" ht="14.25">
      <c r="A1352" s="67"/>
      <c r="B1352" s="67"/>
      <c r="C1352" s="67"/>
      <c r="D1352" s="67"/>
      <c r="E1352" s="67"/>
    </row>
    <row r="1353" spans="1:5" ht="15" customHeight="1">
      <c r="A1353" s="67"/>
      <c r="B1353" s="67"/>
      <c r="C1353" s="67"/>
      <c r="D1353" s="67"/>
      <c r="E1353" s="67"/>
    </row>
    <row r="1354" spans="1:5" ht="47.25" customHeight="1">
      <c r="A1354" s="67"/>
      <c r="B1354" s="67"/>
      <c r="C1354" s="67"/>
      <c r="D1354" s="67"/>
      <c r="E1354" s="67"/>
    </row>
    <row r="1355" spans="1:5" ht="14.25">
      <c r="A1355" s="67"/>
      <c r="B1355" s="67"/>
      <c r="C1355" s="67"/>
      <c r="D1355" s="67"/>
      <c r="E1355" s="67"/>
    </row>
    <row r="1356" spans="1:5" ht="14.25">
      <c r="A1356" s="67"/>
      <c r="B1356" s="67"/>
      <c r="C1356" s="67"/>
      <c r="D1356" s="67"/>
      <c r="E1356" s="67"/>
    </row>
    <row r="1357" spans="1:5" ht="14.25">
      <c r="A1357" s="67"/>
      <c r="B1357" s="67"/>
      <c r="C1357" s="67"/>
      <c r="D1357" s="67"/>
      <c r="E1357" s="67"/>
    </row>
    <row r="1358" spans="1:5" ht="14.25">
      <c r="A1358" s="67"/>
      <c r="B1358" s="67"/>
      <c r="C1358" s="67"/>
      <c r="D1358" s="67"/>
      <c r="E1358" s="67"/>
    </row>
    <row r="1359" spans="1:5" ht="14.25">
      <c r="A1359" s="67"/>
      <c r="B1359" s="67"/>
      <c r="C1359" s="67"/>
      <c r="D1359" s="67"/>
      <c r="E1359" s="67"/>
    </row>
    <row r="1360" spans="1:5" ht="14.25">
      <c r="A1360" s="67"/>
      <c r="B1360" s="67"/>
      <c r="C1360" s="67"/>
      <c r="D1360" s="67"/>
      <c r="E1360" s="67"/>
    </row>
    <row r="1361" spans="1:5" ht="14.25">
      <c r="A1361" s="67"/>
      <c r="B1361" s="67"/>
      <c r="C1361" s="67"/>
      <c r="D1361" s="67"/>
      <c r="E1361" s="67"/>
    </row>
    <row r="1362" spans="1:5" ht="14.25">
      <c r="A1362" s="67"/>
      <c r="B1362" s="67"/>
      <c r="C1362" s="67"/>
      <c r="D1362" s="67"/>
      <c r="E1362" s="67"/>
    </row>
    <row r="1363" spans="1:5" s="2" customFormat="1" ht="12.75">
      <c r="A1363" s="67"/>
      <c r="B1363" s="67"/>
      <c r="C1363" s="67"/>
      <c r="D1363" s="67"/>
      <c r="E1363" s="67"/>
    </row>
    <row r="1364" spans="1:5" ht="14.25">
      <c r="A1364" s="67"/>
      <c r="B1364" s="67"/>
      <c r="C1364" s="67"/>
      <c r="D1364" s="67"/>
      <c r="E1364" s="67"/>
    </row>
    <row r="1365" spans="1:5" ht="14.25">
      <c r="A1365" s="67"/>
      <c r="B1365" s="67"/>
      <c r="C1365" s="67"/>
      <c r="D1365" s="67"/>
      <c r="E1365" s="67"/>
    </row>
    <row r="1366" spans="1:5" s="2" customFormat="1" ht="12.75">
      <c r="A1366" s="67"/>
      <c r="B1366" s="67"/>
      <c r="C1366" s="67"/>
      <c r="D1366" s="67"/>
      <c r="E1366" s="67"/>
    </row>
    <row r="1367" spans="1:5" s="2" customFormat="1" ht="12.75">
      <c r="A1367" s="67"/>
      <c r="B1367" s="67"/>
      <c r="C1367" s="67"/>
      <c r="D1367" s="67"/>
      <c r="E1367" s="67"/>
    </row>
    <row r="1368" spans="1:5" s="2" customFormat="1" ht="12.75" customHeight="1">
      <c r="A1368" s="67"/>
      <c r="B1368" s="67"/>
      <c r="C1368" s="67"/>
      <c r="D1368" s="67"/>
      <c r="E1368" s="67"/>
    </row>
    <row r="1369" spans="1:5" ht="14.25">
      <c r="A1369" s="67"/>
      <c r="B1369" s="67"/>
      <c r="C1369" s="67"/>
      <c r="D1369" s="67"/>
      <c r="E1369" s="67"/>
    </row>
    <row r="1370" spans="1:5" ht="14.25">
      <c r="A1370" s="67"/>
      <c r="B1370" s="67"/>
      <c r="C1370" s="67"/>
      <c r="D1370" s="67"/>
      <c r="E1370" s="67"/>
    </row>
    <row r="1371" spans="1:5" ht="14.25">
      <c r="A1371" s="67"/>
      <c r="B1371" s="67"/>
      <c r="C1371" s="67"/>
      <c r="D1371" s="67"/>
      <c r="E1371" s="67"/>
    </row>
    <row r="1372" spans="1:5" ht="14.25">
      <c r="A1372" s="67"/>
      <c r="B1372" s="67"/>
      <c r="C1372" s="67"/>
      <c r="D1372" s="67"/>
      <c r="E1372" s="67"/>
    </row>
    <row r="1373" spans="1:5" ht="14.25">
      <c r="A1373" s="67"/>
      <c r="B1373" s="67"/>
      <c r="C1373" s="67"/>
      <c r="D1373" s="67"/>
      <c r="E1373" s="67"/>
    </row>
    <row r="1374" spans="1:5" ht="14.25">
      <c r="A1374" s="67"/>
      <c r="B1374" s="67"/>
      <c r="C1374" s="67"/>
      <c r="D1374" s="67"/>
      <c r="E1374" s="67"/>
    </row>
    <row r="1375" spans="1:5" ht="14.25">
      <c r="A1375" s="67"/>
      <c r="B1375" s="67"/>
      <c r="C1375" s="67"/>
      <c r="D1375" s="67"/>
      <c r="E1375" s="67"/>
    </row>
    <row r="1376" spans="1:5" ht="14.25">
      <c r="A1376" s="67"/>
      <c r="B1376" s="67"/>
      <c r="C1376" s="67"/>
      <c r="D1376" s="67"/>
      <c r="E1376" s="67"/>
    </row>
    <row r="1377" spans="1:5" ht="14.25">
      <c r="A1377" s="67"/>
      <c r="B1377" s="67"/>
      <c r="C1377" s="67"/>
      <c r="D1377" s="67"/>
      <c r="E1377" s="67"/>
    </row>
    <row r="1378" spans="1:5" ht="14.25">
      <c r="A1378" s="67"/>
      <c r="B1378" s="67"/>
      <c r="C1378" s="67"/>
      <c r="D1378" s="67"/>
      <c r="E1378" s="67"/>
    </row>
    <row r="1379" spans="1:5" ht="15" customHeight="1">
      <c r="A1379" s="67"/>
      <c r="B1379" s="67"/>
      <c r="C1379" s="67"/>
      <c r="D1379" s="67"/>
      <c r="E1379" s="67"/>
    </row>
    <row r="1380" spans="1:5" ht="14.25">
      <c r="A1380" s="67"/>
      <c r="B1380" s="67"/>
      <c r="C1380" s="67"/>
      <c r="D1380" s="67"/>
      <c r="E1380" s="67"/>
    </row>
    <row r="1381" spans="1:5" ht="14.25">
      <c r="A1381" s="67"/>
      <c r="B1381" s="67"/>
      <c r="C1381" s="67"/>
      <c r="D1381" s="67"/>
      <c r="E1381" s="67"/>
    </row>
    <row r="1382" spans="1:5" ht="15" customHeight="1">
      <c r="A1382" s="67"/>
      <c r="B1382" s="67"/>
      <c r="C1382" s="67"/>
      <c r="D1382" s="67"/>
      <c r="E1382" s="67"/>
    </row>
    <row r="1383" spans="1:5" ht="14.25">
      <c r="A1383" s="67"/>
      <c r="B1383" s="67"/>
      <c r="C1383" s="67"/>
      <c r="D1383" s="67"/>
      <c r="E1383" s="67"/>
    </row>
    <row r="1384" spans="1:5" ht="14.25">
      <c r="A1384" s="67"/>
      <c r="B1384" s="67"/>
      <c r="C1384" s="67"/>
      <c r="D1384" s="67"/>
      <c r="E1384" s="67"/>
    </row>
    <row r="1385" spans="1:5" ht="15" customHeight="1">
      <c r="A1385" s="67"/>
      <c r="B1385" s="67"/>
      <c r="C1385" s="67"/>
      <c r="D1385" s="67"/>
      <c r="E1385" s="67"/>
    </row>
    <row r="1386" spans="1:5" ht="14.25">
      <c r="A1386" s="67"/>
      <c r="B1386" s="67"/>
      <c r="C1386" s="67"/>
      <c r="D1386" s="67"/>
      <c r="E1386" s="67"/>
    </row>
    <row r="1387" spans="1:5" ht="14.25">
      <c r="A1387" s="67"/>
      <c r="B1387" s="67"/>
      <c r="C1387" s="67"/>
      <c r="D1387" s="67"/>
      <c r="E1387" s="67"/>
    </row>
    <row r="1388" spans="1:5" ht="14.25">
      <c r="A1388" s="67"/>
      <c r="B1388" s="67"/>
      <c r="C1388" s="67"/>
      <c r="D1388" s="67"/>
      <c r="E1388" s="67"/>
    </row>
    <row r="1389" spans="1:5" s="30" customFormat="1" ht="14.25">
      <c r="A1389" s="67"/>
      <c r="B1389" s="67"/>
      <c r="C1389" s="67"/>
      <c r="D1389" s="67"/>
      <c r="E1389" s="67"/>
    </row>
    <row r="1390" spans="1:5" ht="14.25">
      <c r="A1390" s="67"/>
      <c r="B1390" s="67"/>
      <c r="C1390" s="67"/>
      <c r="D1390" s="67"/>
      <c r="E1390" s="67"/>
    </row>
    <row r="1391" spans="1:5" ht="14.25">
      <c r="A1391" s="67"/>
      <c r="B1391" s="67"/>
      <c r="C1391" s="67"/>
      <c r="D1391" s="67"/>
      <c r="E1391" s="67"/>
    </row>
    <row r="1392" spans="1:5" ht="14.25">
      <c r="A1392" s="67"/>
      <c r="B1392" s="67"/>
      <c r="C1392" s="67"/>
      <c r="D1392" s="67"/>
      <c r="E1392" s="67"/>
    </row>
    <row r="1393" spans="1:5" ht="14.25">
      <c r="A1393" s="67"/>
      <c r="B1393" s="67"/>
      <c r="C1393" s="67"/>
      <c r="D1393" s="67"/>
      <c r="E1393" s="67"/>
    </row>
    <row r="1394" spans="1:5" ht="14.25">
      <c r="A1394" s="67"/>
      <c r="B1394" s="67"/>
      <c r="C1394" s="67"/>
      <c r="D1394" s="67"/>
      <c r="E1394" s="67"/>
    </row>
    <row r="1395" spans="1:5" ht="14.25">
      <c r="A1395" s="67"/>
      <c r="B1395" s="67"/>
      <c r="C1395" s="67"/>
      <c r="D1395" s="67"/>
      <c r="E1395" s="67"/>
    </row>
    <row r="1396" spans="1:5" ht="14.25">
      <c r="A1396" s="67"/>
      <c r="B1396" s="67"/>
      <c r="C1396" s="67"/>
      <c r="D1396" s="67"/>
      <c r="E1396" s="67"/>
    </row>
    <row r="1397" spans="1:5" ht="14.25">
      <c r="A1397" s="67"/>
      <c r="B1397" s="67"/>
      <c r="C1397" s="67"/>
      <c r="D1397" s="67"/>
      <c r="E1397" s="67"/>
    </row>
    <row r="1398" spans="1:5" ht="14.25">
      <c r="A1398" s="67"/>
      <c r="B1398" s="67"/>
      <c r="C1398" s="67"/>
      <c r="D1398" s="67"/>
      <c r="E1398" s="67"/>
    </row>
    <row r="1399" spans="1:5" ht="15" customHeight="1">
      <c r="A1399" s="67"/>
      <c r="B1399" s="67"/>
      <c r="C1399" s="67"/>
      <c r="D1399" s="67"/>
      <c r="E1399" s="67"/>
    </row>
    <row r="1400" spans="1:5" ht="14.25">
      <c r="A1400" s="67"/>
      <c r="B1400" s="67"/>
      <c r="C1400" s="67"/>
      <c r="D1400" s="67"/>
      <c r="E1400" s="67"/>
    </row>
    <row r="1401" spans="1:5" ht="14.25">
      <c r="A1401" s="67"/>
      <c r="B1401" s="67"/>
      <c r="C1401" s="67"/>
      <c r="D1401" s="67"/>
      <c r="E1401" s="67"/>
    </row>
    <row r="1402" spans="1:5" ht="15" customHeight="1">
      <c r="A1402" s="67"/>
      <c r="B1402" s="67"/>
      <c r="C1402" s="67"/>
      <c r="D1402" s="67"/>
      <c r="E1402" s="67"/>
    </row>
    <row r="1403" spans="1:5" ht="14.25">
      <c r="A1403" s="67"/>
      <c r="B1403" s="67"/>
      <c r="C1403" s="67"/>
      <c r="D1403" s="67"/>
      <c r="E1403" s="67"/>
    </row>
    <row r="1404" spans="1:5" ht="14.25">
      <c r="A1404" s="67"/>
      <c r="B1404" s="67"/>
      <c r="C1404" s="67"/>
      <c r="D1404" s="67"/>
      <c r="E1404" s="67"/>
    </row>
    <row r="1405" spans="1:5" ht="14.25">
      <c r="A1405" s="67"/>
      <c r="B1405" s="67"/>
      <c r="C1405" s="67"/>
      <c r="D1405" s="67"/>
      <c r="E1405" s="67"/>
    </row>
    <row r="1406" spans="1:5" ht="14.25">
      <c r="A1406" s="67"/>
      <c r="B1406" s="67"/>
      <c r="C1406" s="67"/>
      <c r="D1406" s="67"/>
      <c r="E1406" s="67"/>
    </row>
    <row r="1407" spans="1:5" ht="14.25">
      <c r="A1407" s="67"/>
      <c r="B1407" s="67"/>
      <c r="C1407" s="67"/>
      <c r="D1407" s="67"/>
      <c r="E1407" s="67"/>
    </row>
    <row r="1408" spans="1:5" ht="14.25">
      <c r="A1408" s="67"/>
      <c r="B1408" s="67"/>
      <c r="C1408" s="67"/>
      <c r="D1408" s="67"/>
      <c r="E1408" s="67"/>
    </row>
    <row r="1409" spans="1:5" ht="14.25">
      <c r="A1409" s="67"/>
      <c r="B1409" s="67"/>
      <c r="C1409" s="67"/>
      <c r="D1409" s="67"/>
      <c r="E1409" s="67"/>
    </row>
    <row r="1410" spans="1:5" ht="14.25">
      <c r="A1410" s="67"/>
      <c r="B1410" s="67"/>
      <c r="C1410" s="67"/>
      <c r="D1410" s="67"/>
      <c r="E1410" s="67"/>
    </row>
    <row r="1411" spans="1:5" ht="14.25">
      <c r="A1411" s="67"/>
      <c r="B1411" s="67"/>
      <c r="C1411" s="67"/>
      <c r="D1411" s="67"/>
      <c r="E1411" s="67"/>
    </row>
    <row r="1412" spans="1:5" ht="14.25">
      <c r="A1412" s="67"/>
      <c r="B1412" s="67"/>
      <c r="C1412" s="67"/>
      <c r="D1412" s="67"/>
      <c r="E1412" s="67"/>
    </row>
    <row r="1413" spans="1:5" s="30" customFormat="1" ht="14.25">
      <c r="A1413" s="67"/>
      <c r="B1413" s="67"/>
      <c r="C1413" s="67"/>
      <c r="D1413" s="67"/>
      <c r="E1413" s="67"/>
    </row>
    <row r="1414" spans="1:5" s="30" customFormat="1" ht="30" customHeight="1">
      <c r="A1414" s="67"/>
      <c r="B1414" s="67"/>
      <c r="C1414" s="67"/>
      <c r="D1414" s="67"/>
      <c r="E1414" s="67"/>
    </row>
    <row r="1415" spans="1:5" s="2" customFormat="1" ht="12.75">
      <c r="A1415" s="67"/>
      <c r="B1415" s="67"/>
      <c r="C1415" s="67"/>
      <c r="D1415" s="67"/>
      <c r="E1415" s="67"/>
    </row>
    <row r="1416" spans="1:5" s="2" customFormat="1" ht="12.75">
      <c r="A1416" s="67"/>
      <c r="B1416" s="67"/>
      <c r="C1416" s="67"/>
      <c r="D1416" s="67"/>
      <c r="E1416" s="67"/>
    </row>
    <row r="1417" spans="1:5" ht="14.25">
      <c r="A1417" s="67"/>
      <c r="B1417" s="67"/>
      <c r="C1417" s="67"/>
      <c r="D1417" s="67"/>
      <c r="E1417" s="67"/>
    </row>
    <row r="1418" spans="1:5" s="2" customFormat="1" ht="12.75">
      <c r="A1418" s="67"/>
      <c r="B1418" s="67"/>
      <c r="C1418" s="67"/>
      <c r="D1418" s="67"/>
      <c r="E1418" s="67"/>
    </row>
    <row r="1419" spans="1:5" s="2" customFormat="1" ht="12.75">
      <c r="A1419" s="67"/>
      <c r="B1419" s="67"/>
      <c r="C1419" s="67"/>
      <c r="D1419" s="67"/>
      <c r="E1419" s="67"/>
    </row>
    <row r="1420" spans="1:5" ht="14.25">
      <c r="A1420" s="67"/>
      <c r="B1420" s="67"/>
      <c r="C1420" s="67"/>
      <c r="D1420" s="67"/>
      <c r="E1420" s="67"/>
    </row>
    <row r="1421" spans="1:5" s="2" customFormat="1" ht="12.75">
      <c r="A1421" s="67"/>
      <c r="B1421" s="67"/>
      <c r="C1421" s="67"/>
      <c r="D1421" s="67"/>
      <c r="E1421" s="67"/>
    </row>
    <row r="1422" spans="1:5" ht="14.25">
      <c r="A1422" s="67"/>
      <c r="B1422" s="67"/>
      <c r="C1422" s="67"/>
      <c r="D1422" s="67"/>
      <c r="E1422" s="67"/>
    </row>
    <row r="1423" spans="1:5" ht="14.25">
      <c r="A1423" s="67"/>
      <c r="B1423" s="67"/>
      <c r="C1423" s="67"/>
      <c r="D1423" s="67"/>
      <c r="E1423" s="67"/>
    </row>
    <row r="1424" spans="1:5" ht="14.25">
      <c r="A1424" s="67"/>
      <c r="B1424" s="67"/>
      <c r="C1424" s="67"/>
      <c r="D1424" s="67"/>
      <c r="E1424" s="67"/>
    </row>
    <row r="1425" spans="1:5" ht="14.25">
      <c r="A1425" s="67"/>
      <c r="B1425" s="67"/>
      <c r="C1425" s="67"/>
      <c r="D1425" s="67"/>
      <c r="E1425" s="67"/>
    </row>
    <row r="1426" spans="1:5" ht="14.25">
      <c r="A1426" s="67"/>
      <c r="B1426" s="67"/>
      <c r="C1426" s="67"/>
      <c r="D1426" s="67"/>
      <c r="E1426" s="67"/>
    </row>
    <row r="1427" spans="1:5" ht="14.25">
      <c r="A1427" s="67"/>
      <c r="B1427" s="67"/>
      <c r="C1427" s="67"/>
      <c r="D1427" s="67"/>
      <c r="E1427" s="67"/>
    </row>
    <row r="1428" spans="1:5" ht="14.25">
      <c r="A1428" s="67"/>
      <c r="B1428" s="67"/>
      <c r="C1428" s="67"/>
      <c r="D1428" s="67"/>
      <c r="E1428" s="67"/>
    </row>
    <row r="1429" spans="1:5" ht="14.25">
      <c r="A1429" s="67"/>
      <c r="B1429" s="67"/>
      <c r="C1429" s="67"/>
      <c r="D1429" s="67"/>
      <c r="E1429" s="67"/>
    </row>
    <row r="1430" spans="1:5" ht="14.25">
      <c r="A1430" s="67"/>
      <c r="B1430" s="67"/>
      <c r="C1430" s="67"/>
      <c r="D1430" s="67"/>
      <c r="E1430" s="67"/>
    </row>
    <row r="1431" spans="1:5" s="2" customFormat="1" ht="12.75" customHeight="1">
      <c r="A1431" s="67"/>
      <c r="B1431" s="67"/>
      <c r="C1431" s="67"/>
      <c r="D1431" s="67"/>
      <c r="E1431" s="67"/>
    </row>
    <row r="1432" spans="1:5" ht="14.25">
      <c r="A1432" s="67"/>
      <c r="B1432" s="67"/>
      <c r="C1432" s="67"/>
      <c r="D1432" s="67"/>
      <c r="E1432" s="67"/>
    </row>
    <row r="1433" spans="1:5" ht="14.25">
      <c r="A1433" s="67"/>
      <c r="B1433" s="67"/>
      <c r="C1433" s="67"/>
      <c r="D1433" s="67"/>
      <c r="E1433" s="67"/>
    </row>
    <row r="1434" spans="1:5" s="30" customFormat="1" ht="14.25">
      <c r="A1434" s="67"/>
      <c r="B1434" s="67"/>
      <c r="C1434" s="67"/>
      <c r="D1434" s="67"/>
      <c r="E1434" s="67"/>
    </row>
    <row r="1435" spans="1:5" ht="14.25">
      <c r="A1435" s="67"/>
      <c r="B1435" s="67"/>
      <c r="C1435" s="67"/>
      <c r="D1435" s="67"/>
      <c r="E1435" s="67"/>
    </row>
    <row r="1436" spans="1:5" ht="14.25">
      <c r="A1436" s="67"/>
      <c r="B1436" s="67"/>
      <c r="C1436" s="67"/>
      <c r="D1436" s="67"/>
      <c r="E1436" s="67"/>
    </row>
    <row r="1437" spans="1:5" ht="14.25">
      <c r="A1437" s="67"/>
      <c r="B1437" s="67"/>
      <c r="C1437" s="67"/>
      <c r="D1437" s="67"/>
      <c r="E1437" s="67"/>
    </row>
    <row r="1438" spans="1:5" ht="14.25">
      <c r="A1438" s="67"/>
      <c r="B1438" s="67"/>
      <c r="C1438" s="67"/>
      <c r="D1438" s="67"/>
      <c r="E1438" s="67"/>
    </row>
    <row r="1439" spans="1:5" ht="14.25">
      <c r="A1439" s="67"/>
      <c r="B1439" s="67"/>
      <c r="C1439" s="67"/>
      <c r="D1439" s="67"/>
      <c r="E1439" s="67"/>
    </row>
    <row r="1440" spans="1:5" ht="14.25">
      <c r="A1440" s="67"/>
      <c r="B1440" s="67"/>
      <c r="C1440" s="67"/>
      <c r="D1440" s="67"/>
      <c r="E1440" s="67"/>
    </row>
    <row r="1441" spans="1:5" ht="14.25">
      <c r="A1441" s="67"/>
      <c r="B1441" s="67"/>
      <c r="C1441" s="67"/>
      <c r="D1441" s="67"/>
      <c r="E1441" s="67"/>
    </row>
    <row r="1442" spans="1:5" ht="14.25">
      <c r="A1442" s="67"/>
      <c r="B1442" s="67"/>
      <c r="C1442" s="67"/>
      <c r="D1442" s="67"/>
      <c r="E1442" s="67"/>
    </row>
    <row r="1443" spans="1:5" ht="14.25">
      <c r="A1443" s="67"/>
      <c r="B1443" s="67"/>
      <c r="C1443" s="67"/>
      <c r="D1443" s="67"/>
      <c r="E1443" s="67"/>
    </row>
    <row r="1444" spans="1:5" ht="14.25">
      <c r="A1444" s="67"/>
      <c r="B1444" s="67"/>
      <c r="C1444" s="67"/>
      <c r="D1444" s="67"/>
      <c r="E1444" s="67"/>
    </row>
    <row r="1445" spans="1:5" ht="14.25">
      <c r="A1445" s="67"/>
      <c r="B1445" s="67"/>
      <c r="C1445" s="67"/>
      <c r="D1445" s="67"/>
      <c r="E1445" s="67"/>
    </row>
    <row r="1446" spans="1:5" ht="14.25">
      <c r="A1446" s="67"/>
      <c r="B1446" s="67"/>
      <c r="C1446" s="67"/>
      <c r="D1446" s="67"/>
      <c r="E1446" s="67"/>
    </row>
    <row r="1447" spans="1:5" ht="14.25">
      <c r="A1447" s="67"/>
      <c r="B1447" s="67"/>
      <c r="C1447" s="67"/>
      <c r="D1447" s="67"/>
      <c r="E1447" s="67"/>
    </row>
    <row r="1448" spans="1:5" ht="14.25">
      <c r="A1448" s="67"/>
      <c r="B1448" s="67"/>
      <c r="C1448" s="67"/>
      <c r="D1448" s="67"/>
      <c r="E1448" s="67"/>
    </row>
    <row r="1449" spans="1:5" ht="14.25">
      <c r="A1449" s="67"/>
      <c r="B1449" s="67"/>
      <c r="C1449" s="67"/>
      <c r="D1449" s="67"/>
      <c r="E1449" s="67"/>
    </row>
    <row r="1450" spans="1:5" ht="14.25">
      <c r="A1450" s="67"/>
      <c r="B1450" s="67"/>
      <c r="C1450" s="67"/>
      <c r="D1450" s="67"/>
      <c r="E1450" s="67"/>
    </row>
    <row r="1451" spans="1:5" ht="14.25">
      <c r="A1451" s="67"/>
      <c r="B1451" s="67"/>
      <c r="C1451" s="67"/>
      <c r="D1451" s="67"/>
      <c r="E1451" s="67"/>
    </row>
    <row r="1452" spans="1:5" ht="14.25">
      <c r="A1452" s="67"/>
      <c r="B1452" s="67"/>
      <c r="C1452" s="67"/>
      <c r="D1452" s="67"/>
      <c r="E1452" s="67"/>
    </row>
    <row r="1453" spans="1:5" ht="14.25">
      <c r="A1453" s="67"/>
      <c r="B1453" s="67"/>
      <c r="C1453" s="67"/>
      <c r="D1453" s="67"/>
      <c r="E1453" s="67"/>
    </row>
    <row r="1454" spans="1:5" ht="15" customHeight="1">
      <c r="A1454" s="67"/>
      <c r="B1454" s="67"/>
      <c r="C1454" s="67"/>
      <c r="D1454" s="67"/>
      <c r="E1454" s="67"/>
    </row>
    <row r="1455" spans="1:5" ht="14.25">
      <c r="A1455" s="67"/>
      <c r="B1455" s="67"/>
      <c r="C1455" s="67"/>
      <c r="D1455" s="67"/>
      <c r="E1455" s="67"/>
    </row>
    <row r="1456" spans="1:5" ht="14.25">
      <c r="A1456" s="67"/>
      <c r="B1456" s="67"/>
      <c r="C1456" s="67"/>
      <c r="D1456" s="67"/>
      <c r="E1456" s="67"/>
    </row>
    <row r="1457" spans="1:5" ht="15" customHeight="1">
      <c r="A1457" s="67"/>
      <c r="B1457" s="67"/>
      <c r="C1457" s="67"/>
      <c r="D1457" s="67"/>
      <c r="E1457" s="67"/>
    </row>
    <row r="1458" spans="1:5" ht="14.25">
      <c r="A1458" s="67"/>
      <c r="B1458" s="67"/>
      <c r="C1458" s="67"/>
      <c r="D1458" s="67"/>
      <c r="E1458" s="67"/>
    </row>
    <row r="1459" spans="1:5" ht="14.25">
      <c r="A1459" s="67"/>
      <c r="B1459" s="67"/>
      <c r="C1459" s="67"/>
      <c r="D1459" s="67"/>
      <c r="E1459" s="67"/>
    </row>
    <row r="1460" spans="1:5" ht="14.25">
      <c r="A1460" s="67"/>
      <c r="B1460" s="67"/>
      <c r="C1460" s="67"/>
      <c r="D1460" s="67"/>
      <c r="E1460" s="67"/>
    </row>
    <row r="1461" spans="1:5" s="30" customFormat="1" ht="14.25">
      <c r="A1461" s="67"/>
      <c r="B1461" s="67"/>
      <c r="C1461" s="67"/>
      <c r="D1461" s="67"/>
      <c r="E1461" s="67"/>
    </row>
    <row r="1462" spans="1:5" ht="15" customHeight="1">
      <c r="A1462" s="67"/>
      <c r="B1462" s="67"/>
      <c r="C1462" s="67"/>
      <c r="D1462" s="67"/>
      <c r="E1462" s="67"/>
    </row>
    <row r="1463" spans="1:5" ht="47.25" customHeight="1">
      <c r="A1463" s="67"/>
      <c r="B1463" s="67"/>
      <c r="C1463" s="67"/>
      <c r="D1463" s="67"/>
      <c r="E1463" s="67"/>
    </row>
    <row r="1464" spans="1:5" ht="14.25">
      <c r="A1464" s="67"/>
      <c r="B1464" s="67"/>
      <c r="C1464" s="67"/>
      <c r="D1464" s="67"/>
      <c r="E1464" s="67"/>
    </row>
    <row r="1465" spans="1:5" ht="14.25">
      <c r="A1465" s="67"/>
      <c r="B1465" s="67"/>
      <c r="C1465" s="67"/>
      <c r="D1465" s="67"/>
      <c r="E1465" s="67"/>
    </row>
    <row r="1466" spans="1:5" ht="14.25">
      <c r="A1466" s="67"/>
      <c r="B1466" s="67"/>
      <c r="C1466" s="67"/>
      <c r="D1466" s="67"/>
      <c r="E1466" s="67"/>
    </row>
    <row r="1467" spans="1:5" ht="14.25">
      <c r="A1467" s="67"/>
      <c r="B1467" s="67"/>
      <c r="C1467" s="67"/>
      <c r="D1467" s="67"/>
      <c r="E1467" s="67"/>
    </row>
    <row r="1468" spans="1:5" ht="14.25">
      <c r="A1468" s="67"/>
      <c r="B1468" s="67"/>
      <c r="C1468" s="67"/>
      <c r="D1468" s="67"/>
      <c r="E1468" s="67"/>
    </row>
    <row r="1469" spans="1:5" ht="14.25">
      <c r="A1469" s="67"/>
      <c r="B1469" s="67"/>
      <c r="C1469" s="67"/>
      <c r="D1469" s="67"/>
      <c r="E1469" s="67"/>
    </row>
    <row r="1470" spans="1:5" ht="14.25">
      <c r="A1470" s="67"/>
      <c r="B1470" s="67"/>
      <c r="C1470" s="67"/>
      <c r="D1470" s="67"/>
      <c r="E1470" s="67"/>
    </row>
    <row r="1471" spans="1:5" s="2" customFormat="1" ht="12.75">
      <c r="A1471" s="67"/>
      <c r="B1471" s="67"/>
      <c r="C1471" s="67"/>
      <c r="D1471" s="67"/>
      <c r="E1471" s="67"/>
    </row>
    <row r="1472" spans="1:5" ht="14.25">
      <c r="A1472" s="67"/>
      <c r="B1472" s="67"/>
      <c r="C1472" s="67"/>
      <c r="D1472" s="67"/>
      <c r="E1472" s="67"/>
    </row>
    <row r="1473" spans="1:5" s="2" customFormat="1" ht="12.75">
      <c r="A1473" s="67"/>
      <c r="B1473" s="67"/>
      <c r="C1473" s="67"/>
      <c r="D1473" s="67"/>
      <c r="E1473" s="67"/>
    </row>
    <row r="1474" spans="1:5" s="2" customFormat="1" ht="12.75">
      <c r="A1474" s="67"/>
      <c r="B1474" s="67"/>
      <c r="C1474" s="67"/>
      <c r="D1474" s="67"/>
      <c r="E1474" s="67"/>
    </row>
    <row r="1475" spans="1:5" s="2" customFormat="1" ht="12.75" customHeight="1">
      <c r="A1475" s="67"/>
      <c r="B1475" s="67"/>
      <c r="C1475" s="67"/>
      <c r="D1475" s="67"/>
      <c r="E1475" s="67"/>
    </row>
    <row r="1476" spans="1:5" ht="14.25">
      <c r="A1476" s="67"/>
      <c r="B1476" s="67"/>
      <c r="C1476" s="67"/>
      <c r="D1476" s="67"/>
      <c r="E1476" s="67"/>
    </row>
    <row r="1477" spans="1:5" ht="15" customHeight="1">
      <c r="A1477" s="67"/>
      <c r="B1477" s="67"/>
      <c r="C1477" s="67"/>
      <c r="D1477" s="67"/>
      <c r="E1477" s="67"/>
    </row>
    <row r="1478" spans="1:5" ht="14.25">
      <c r="A1478" s="67"/>
      <c r="B1478" s="67"/>
      <c r="C1478" s="67"/>
      <c r="D1478" s="67"/>
      <c r="E1478" s="67"/>
    </row>
    <row r="1479" spans="1:5" ht="14.25">
      <c r="A1479" s="67"/>
      <c r="B1479" s="67"/>
      <c r="C1479" s="67"/>
      <c r="D1479" s="67"/>
      <c r="E1479" s="67"/>
    </row>
    <row r="1480" spans="1:5" ht="14.25">
      <c r="A1480" s="67"/>
      <c r="B1480" s="67"/>
      <c r="C1480" s="67"/>
      <c r="D1480" s="67"/>
      <c r="E1480" s="67"/>
    </row>
    <row r="1481" spans="1:5" ht="14.25">
      <c r="A1481" s="67"/>
      <c r="B1481" s="67"/>
      <c r="C1481" s="67"/>
      <c r="D1481" s="67"/>
      <c r="E1481" s="67"/>
    </row>
    <row r="1482" spans="1:5" ht="14.25">
      <c r="A1482" s="67"/>
      <c r="B1482" s="67"/>
      <c r="C1482" s="67"/>
      <c r="D1482" s="67"/>
      <c r="E1482" s="67"/>
    </row>
    <row r="1483" spans="1:5" ht="14.25">
      <c r="A1483" s="67"/>
      <c r="B1483" s="67"/>
      <c r="C1483" s="67"/>
      <c r="D1483" s="67"/>
      <c r="E1483" s="67"/>
    </row>
    <row r="1484" spans="1:5" ht="14.25">
      <c r="A1484" s="67"/>
      <c r="B1484" s="67"/>
      <c r="C1484" s="67"/>
      <c r="D1484" s="67"/>
      <c r="E1484" s="67"/>
    </row>
    <row r="1485" spans="1:5" ht="15" customHeight="1">
      <c r="A1485" s="67"/>
      <c r="B1485" s="67"/>
      <c r="C1485" s="67"/>
      <c r="D1485" s="67"/>
      <c r="E1485" s="67"/>
    </row>
    <row r="1486" spans="1:5" ht="14.25">
      <c r="A1486" s="67"/>
      <c r="B1486" s="67"/>
      <c r="C1486" s="67"/>
      <c r="D1486" s="67"/>
      <c r="E1486" s="67"/>
    </row>
    <row r="1487" spans="1:5" ht="14.25">
      <c r="A1487" s="67"/>
      <c r="B1487" s="67"/>
      <c r="C1487" s="67"/>
      <c r="D1487" s="67"/>
      <c r="E1487" s="67"/>
    </row>
    <row r="1488" spans="1:5" ht="15" customHeight="1">
      <c r="A1488" s="67"/>
      <c r="B1488" s="67"/>
      <c r="C1488" s="67"/>
      <c r="D1488" s="67"/>
      <c r="E1488" s="67"/>
    </row>
    <row r="1489" spans="1:5" ht="14.25">
      <c r="A1489" s="67"/>
      <c r="B1489" s="67"/>
      <c r="C1489" s="67"/>
      <c r="D1489" s="67"/>
      <c r="E1489" s="67"/>
    </row>
    <row r="1490" spans="1:5" ht="14.25">
      <c r="A1490" s="67"/>
      <c r="B1490" s="67"/>
      <c r="C1490" s="67"/>
      <c r="D1490" s="67"/>
      <c r="E1490" s="67"/>
    </row>
    <row r="1491" spans="1:5" ht="14.25">
      <c r="A1491" s="67"/>
      <c r="B1491" s="67"/>
      <c r="C1491" s="67"/>
      <c r="D1491" s="67"/>
      <c r="E1491" s="67"/>
    </row>
    <row r="1492" spans="1:5" s="30" customFormat="1" ht="14.25">
      <c r="A1492" s="67"/>
      <c r="B1492" s="67"/>
      <c r="C1492" s="67"/>
      <c r="D1492" s="67"/>
      <c r="E1492" s="67"/>
    </row>
    <row r="1493" spans="1:5" ht="15" customHeight="1">
      <c r="A1493" s="67"/>
      <c r="B1493" s="67"/>
      <c r="C1493" s="67"/>
      <c r="D1493" s="67"/>
      <c r="E1493" s="67"/>
    </row>
    <row r="1494" spans="1:5" ht="48" customHeight="1">
      <c r="A1494" s="67"/>
      <c r="B1494" s="67"/>
      <c r="C1494" s="67"/>
      <c r="D1494" s="67"/>
      <c r="E1494" s="67"/>
    </row>
    <row r="1495" spans="1:5" ht="14.25">
      <c r="A1495" s="67"/>
      <c r="B1495" s="67"/>
      <c r="C1495" s="67"/>
      <c r="D1495" s="67"/>
      <c r="E1495" s="67"/>
    </row>
    <row r="1496" spans="1:5" ht="14.25">
      <c r="A1496" s="67"/>
      <c r="B1496" s="67"/>
      <c r="C1496" s="67"/>
      <c r="D1496" s="67"/>
      <c r="E1496" s="67"/>
    </row>
    <row r="1497" spans="1:5" ht="14.25">
      <c r="A1497" s="67"/>
      <c r="B1497" s="67"/>
      <c r="C1497" s="67"/>
      <c r="D1497" s="67"/>
      <c r="E1497" s="67"/>
    </row>
    <row r="1498" spans="1:5" ht="14.25">
      <c r="A1498" s="67"/>
      <c r="B1498" s="67"/>
      <c r="C1498" s="67"/>
      <c r="D1498" s="67"/>
      <c r="E1498" s="67"/>
    </row>
    <row r="1499" spans="1:5" ht="14.25">
      <c r="A1499" s="67"/>
      <c r="B1499" s="67"/>
      <c r="C1499" s="67"/>
      <c r="D1499" s="67"/>
      <c r="E1499" s="67"/>
    </row>
    <row r="1500" spans="1:5" ht="14.25">
      <c r="A1500" s="67"/>
      <c r="B1500" s="67"/>
      <c r="C1500" s="67"/>
      <c r="D1500" s="67"/>
      <c r="E1500" s="67"/>
    </row>
    <row r="1501" spans="1:5" ht="14.25">
      <c r="A1501" s="67"/>
      <c r="B1501" s="67"/>
      <c r="C1501" s="67"/>
      <c r="D1501" s="67"/>
      <c r="E1501" s="67"/>
    </row>
    <row r="1502" spans="1:5" ht="14.25">
      <c r="A1502" s="67"/>
      <c r="B1502" s="67"/>
      <c r="C1502" s="67"/>
      <c r="D1502" s="67"/>
      <c r="E1502" s="67"/>
    </row>
    <row r="1503" spans="1:5" ht="14.25">
      <c r="A1503" s="67"/>
      <c r="B1503" s="67"/>
      <c r="C1503" s="67"/>
      <c r="D1503" s="67"/>
      <c r="E1503" s="67"/>
    </row>
    <row r="1504" spans="1:5" s="2" customFormat="1" ht="12.75">
      <c r="A1504" s="67"/>
      <c r="B1504" s="67"/>
      <c r="C1504" s="67"/>
      <c r="D1504" s="67"/>
      <c r="E1504" s="67"/>
    </row>
    <row r="1505" spans="1:5" s="2" customFormat="1" ht="12.75">
      <c r="A1505" s="67"/>
      <c r="B1505" s="67"/>
      <c r="C1505" s="67"/>
      <c r="D1505" s="67"/>
      <c r="E1505" s="67"/>
    </row>
    <row r="1506" spans="1:5" ht="14.25">
      <c r="A1506" s="67"/>
      <c r="B1506" s="67"/>
      <c r="C1506" s="67"/>
      <c r="D1506" s="67"/>
      <c r="E1506" s="67"/>
    </row>
    <row r="1507" spans="1:5" s="2" customFormat="1" ht="12.75">
      <c r="A1507" s="67"/>
      <c r="B1507" s="67"/>
      <c r="C1507" s="67"/>
      <c r="D1507" s="67"/>
      <c r="E1507" s="67"/>
    </row>
    <row r="1508" spans="1:5" s="2" customFormat="1" ht="12.75">
      <c r="A1508" s="67"/>
      <c r="B1508" s="67"/>
      <c r="C1508" s="67"/>
      <c r="D1508" s="67"/>
      <c r="E1508" s="67"/>
    </row>
    <row r="1509" spans="1:5" s="2" customFormat="1" ht="12.75" customHeight="1">
      <c r="A1509" s="67"/>
      <c r="B1509" s="67"/>
      <c r="C1509" s="67"/>
      <c r="D1509" s="67"/>
      <c r="E1509" s="67"/>
    </row>
    <row r="1510" spans="1:5" ht="14.25">
      <c r="A1510" s="67"/>
      <c r="B1510" s="67"/>
      <c r="C1510" s="67"/>
      <c r="D1510" s="67"/>
      <c r="E1510" s="67"/>
    </row>
    <row r="1511" spans="1:5" ht="15" customHeight="1">
      <c r="A1511" s="67"/>
      <c r="B1511" s="67"/>
      <c r="C1511" s="67"/>
      <c r="D1511" s="67"/>
      <c r="E1511" s="67"/>
    </row>
    <row r="1512" spans="1:5" ht="14.25">
      <c r="A1512" s="67"/>
      <c r="B1512" s="67"/>
      <c r="C1512" s="67"/>
      <c r="D1512" s="67"/>
      <c r="E1512" s="67"/>
    </row>
    <row r="1513" spans="1:5" ht="14.25">
      <c r="A1513" s="67"/>
      <c r="B1513" s="67"/>
      <c r="C1513" s="67"/>
      <c r="D1513" s="67"/>
      <c r="E1513" s="67"/>
    </row>
    <row r="1514" spans="1:5" ht="14.25">
      <c r="A1514" s="67"/>
      <c r="B1514" s="67"/>
      <c r="C1514" s="67"/>
      <c r="D1514" s="67"/>
      <c r="E1514" s="67"/>
    </row>
    <row r="1515" spans="1:5" ht="14.25">
      <c r="A1515" s="67"/>
      <c r="B1515" s="67"/>
      <c r="C1515" s="67"/>
      <c r="D1515" s="67"/>
      <c r="E1515" s="67"/>
    </row>
    <row r="1516" spans="1:5" ht="14.25">
      <c r="A1516" s="67"/>
      <c r="B1516" s="67"/>
      <c r="C1516" s="67"/>
      <c r="D1516" s="67"/>
      <c r="E1516" s="67"/>
    </row>
    <row r="1517" spans="1:5" ht="14.25">
      <c r="A1517" s="67"/>
      <c r="B1517" s="67"/>
      <c r="C1517" s="67"/>
      <c r="D1517" s="67"/>
      <c r="E1517" s="67"/>
    </row>
    <row r="1518" spans="1:5" ht="14.25">
      <c r="A1518" s="67"/>
      <c r="B1518" s="67"/>
      <c r="C1518" s="67"/>
      <c r="D1518" s="67"/>
      <c r="E1518" s="67"/>
    </row>
    <row r="1519" spans="1:5" ht="15" customHeight="1">
      <c r="A1519" s="67"/>
      <c r="B1519" s="67"/>
      <c r="C1519" s="67"/>
      <c r="D1519" s="67"/>
      <c r="E1519" s="67"/>
    </row>
    <row r="1520" spans="1:5" ht="14.25">
      <c r="A1520" s="67"/>
      <c r="B1520" s="67"/>
      <c r="C1520" s="67"/>
      <c r="D1520" s="67"/>
      <c r="E1520" s="67"/>
    </row>
    <row r="1521" spans="1:5" ht="14.25">
      <c r="A1521" s="67"/>
      <c r="B1521" s="67"/>
      <c r="C1521" s="67"/>
      <c r="D1521" s="67"/>
      <c r="E1521" s="67"/>
    </row>
    <row r="1522" spans="1:5" ht="15" customHeight="1">
      <c r="A1522" s="67"/>
      <c r="B1522" s="67"/>
      <c r="C1522" s="67"/>
      <c r="D1522" s="67"/>
      <c r="E1522" s="67"/>
    </row>
    <row r="1523" spans="1:5" ht="14.25">
      <c r="A1523" s="67"/>
      <c r="B1523" s="67"/>
      <c r="C1523" s="67"/>
      <c r="D1523" s="67"/>
      <c r="E1523" s="67"/>
    </row>
    <row r="1524" spans="1:5" ht="14.25">
      <c r="A1524" s="67"/>
      <c r="B1524" s="67"/>
      <c r="C1524" s="67"/>
      <c r="D1524" s="67"/>
      <c r="E1524" s="67"/>
    </row>
    <row r="1525" spans="1:5" ht="14.25">
      <c r="A1525" s="67"/>
      <c r="B1525" s="67"/>
      <c r="C1525" s="67"/>
      <c r="D1525" s="67"/>
      <c r="E1525" s="67"/>
    </row>
    <row r="1526" spans="1:5" s="30" customFormat="1" ht="14.25">
      <c r="A1526" s="67"/>
      <c r="B1526" s="67"/>
      <c r="C1526" s="67"/>
      <c r="D1526" s="67"/>
      <c r="E1526" s="67"/>
    </row>
    <row r="1527" spans="1:5" ht="15" customHeight="1">
      <c r="A1527" s="67"/>
      <c r="B1527" s="67"/>
      <c r="C1527" s="67"/>
      <c r="D1527" s="67"/>
      <c r="E1527" s="67"/>
    </row>
    <row r="1528" spans="1:5" ht="45" customHeight="1">
      <c r="A1528" s="67"/>
      <c r="B1528" s="67"/>
      <c r="C1528" s="67"/>
      <c r="D1528" s="67"/>
      <c r="E1528" s="67"/>
    </row>
    <row r="1529" spans="1:5" ht="14.25">
      <c r="A1529" s="67"/>
      <c r="B1529" s="67"/>
      <c r="C1529" s="67"/>
      <c r="D1529" s="67"/>
      <c r="E1529" s="67"/>
    </row>
    <row r="1530" spans="1:5" ht="14.25">
      <c r="A1530" s="67"/>
      <c r="B1530" s="67"/>
      <c r="C1530" s="67"/>
      <c r="D1530" s="67"/>
      <c r="E1530" s="67"/>
    </row>
    <row r="1531" spans="1:5" ht="14.25">
      <c r="A1531" s="67"/>
      <c r="B1531" s="67"/>
      <c r="C1531" s="67"/>
      <c r="D1531" s="67"/>
      <c r="E1531" s="67"/>
    </row>
    <row r="1532" spans="1:5" ht="14.25">
      <c r="A1532" s="67"/>
      <c r="B1532" s="67"/>
      <c r="C1532" s="67"/>
      <c r="D1532" s="67"/>
      <c r="E1532" s="67"/>
    </row>
    <row r="1533" spans="1:5" ht="14.25">
      <c r="A1533" s="67"/>
      <c r="B1533" s="67"/>
      <c r="C1533" s="67"/>
      <c r="D1533" s="67"/>
      <c r="E1533" s="67"/>
    </row>
    <row r="1534" spans="1:5" ht="14.25">
      <c r="A1534" s="67"/>
      <c r="B1534" s="67"/>
      <c r="C1534" s="67"/>
      <c r="D1534" s="67"/>
      <c r="E1534" s="67"/>
    </row>
    <row r="1535" spans="1:5" ht="14.25">
      <c r="A1535" s="67"/>
      <c r="B1535" s="67"/>
      <c r="C1535" s="67"/>
      <c r="D1535" s="67"/>
      <c r="E1535" s="67"/>
    </row>
    <row r="1536" spans="1:5" ht="14.25">
      <c r="A1536" s="67"/>
      <c r="B1536" s="67"/>
      <c r="C1536" s="67"/>
      <c r="D1536" s="67"/>
      <c r="E1536" s="67"/>
    </row>
    <row r="1537" spans="1:5" s="2" customFormat="1" ht="12.75">
      <c r="A1537" s="67"/>
      <c r="B1537" s="67"/>
      <c r="C1537" s="67"/>
      <c r="D1537" s="67"/>
      <c r="E1537" s="67"/>
    </row>
    <row r="1538" spans="1:5" ht="14.25">
      <c r="A1538" s="67"/>
      <c r="B1538" s="67"/>
      <c r="C1538" s="67"/>
      <c r="D1538" s="67"/>
      <c r="E1538" s="67"/>
    </row>
    <row r="1539" spans="1:5" s="2" customFormat="1" ht="12.75">
      <c r="A1539" s="67"/>
      <c r="B1539" s="67"/>
      <c r="C1539" s="67"/>
      <c r="D1539" s="67"/>
      <c r="E1539" s="67"/>
    </row>
    <row r="1540" spans="1:5" s="2" customFormat="1" ht="12.75">
      <c r="A1540" s="67"/>
      <c r="B1540" s="67"/>
      <c r="C1540" s="67"/>
      <c r="D1540" s="67"/>
      <c r="E1540" s="67"/>
    </row>
    <row r="1541" spans="1:5" s="2" customFormat="1" ht="12.75" customHeight="1">
      <c r="A1541" s="67"/>
      <c r="B1541" s="67"/>
      <c r="C1541" s="67"/>
      <c r="D1541" s="67"/>
      <c r="E1541" s="67"/>
    </row>
    <row r="1542" spans="1:5" ht="14.25">
      <c r="A1542" s="67"/>
      <c r="B1542" s="67"/>
      <c r="C1542" s="67"/>
      <c r="D1542" s="67"/>
      <c r="E1542" s="67"/>
    </row>
    <row r="1543" spans="1:5" ht="15" customHeight="1">
      <c r="A1543" s="67"/>
      <c r="B1543" s="67"/>
      <c r="C1543" s="67"/>
      <c r="D1543" s="67"/>
      <c r="E1543" s="67"/>
    </row>
    <row r="1544" spans="1:5" ht="14.25">
      <c r="A1544" s="67"/>
      <c r="B1544" s="67"/>
      <c r="C1544" s="67"/>
      <c r="D1544" s="67"/>
      <c r="E1544" s="67"/>
    </row>
    <row r="1545" spans="1:5" ht="14.25">
      <c r="A1545" s="67"/>
      <c r="B1545" s="67"/>
      <c r="C1545" s="67"/>
      <c r="D1545" s="67"/>
      <c r="E1545" s="67"/>
    </row>
    <row r="1546" spans="1:5" ht="14.25">
      <c r="A1546" s="67"/>
      <c r="B1546" s="67"/>
      <c r="C1546" s="67"/>
      <c r="D1546" s="67"/>
      <c r="E1546" s="67"/>
    </row>
    <row r="1547" spans="1:5" ht="14.25">
      <c r="A1547" s="67"/>
      <c r="B1547" s="67"/>
      <c r="C1547" s="67"/>
      <c r="D1547" s="67"/>
      <c r="E1547" s="67"/>
    </row>
    <row r="1548" spans="1:5" ht="14.25">
      <c r="A1548" s="67"/>
      <c r="B1548" s="67"/>
      <c r="C1548" s="67"/>
      <c r="D1548" s="67"/>
      <c r="E1548" s="67"/>
    </row>
    <row r="1549" spans="1:5" ht="14.25">
      <c r="A1549" s="67"/>
      <c r="B1549" s="67"/>
      <c r="C1549" s="67"/>
      <c r="D1549" s="67"/>
      <c r="E1549" s="67"/>
    </row>
    <row r="1550" spans="1:5" ht="14.25">
      <c r="A1550" s="67"/>
      <c r="B1550" s="67"/>
      <c r="C1550" s="67"/>
      <c r="D1550" s="67"/>
      <c r="E1550" s="67"/>
    </row>
    <row r="1551" spans="1:5" ht="15" customHeight="1">
      <c r="A1551" s="67"/>
      <c r="B1551" s="67"/>
      <c r="C1551" s="67"/>
      <c r="D1551" s="67"/>
      <c r="E1551" s="67"/>
    </row>
    <row r="1552" spans="1:5" ht="30" customHeight="1">
      <c r="A1552" s="67"/>
      <c r="B1552" s="67"/>
      <c r="C1552" s="67"/>
      <c r="D1552" s="67"/>
      <c r="E1552" s="67"/>
    </row>
    <row r="1553" spans="1:5" ht="14.25">
      <c r="A1553" s="67"/>
      <c r="B1553" s="67"/>
      <c r="C1553" s="67"/>
      <c r="D1553" s="67"/>
      <c r="E1553" s="67"/>
    </row>
    <row r="1554" spans="1:5" ht="15" customHeight="1">
      <c r="A1554" s="67"/>
      <c r="B1554" s="67"/>
      <c r="C1554" s="67"/>
      <c r="D1554" s="67"/>
      <c r="E1554" s="67"/>
    </row>
    <row r="1555" spans="1:5" ht="14.25">
      <c r="A1555" s="67"/>
      <c r="B1555" s="67"/>
      <c r="C1555" s="67"/>
      <c r="D1555" s="67"/>
      <c r="E1555" s="67"/>
    </row>
    <row r="1556" spans="1:5" ht="14.25">
      <c r="A1556" s="67"/>
      <c r="B1556" s="67"/>
      <c r="C1556" s="67"/>
      <c r="D1556" s="67"/>
      <c r="E1556" s="67"/>
    </row>
    <row r="1557" spans="1:5" ht="14.25">
      <c r="A1557" s="67"/>
      <c r="B1557" s="67"/>
      <c r="C1557" s="67"/>
      <c r="D1557" s="67"/>
      <c r="E1557" s="67"/>
    </row>
    <row r="1558" spans="1:5" s="30" customFormat="1" ht="14.25">
      <c r="A1558" s="67"/>
      <c r="B1558" s="67"/>
      <c r="C1558" s="67"/>
      <c r="D1558" s="67"/>
      <c r="E1558" s="67"/>
    </row>
    <row r="1559" spans="1:5" ht="15" customHeight="1">
      <c r="A1559" s="67"/>
      <c r="B1559" s="67"/>
      <c r="C1559" s="67"/>
      <c r="D1559" s="67"/>
      <c r="E1559" s="67"/>
    </row>
    <row r="1560" spans="1:5" ht="47.25" customHeight="1">
      <c r="A1560" s="67"/>
      <c r="B1560" s="67"/>
      <c r="C1560" s="67"/>
      <c r="D1560" s="67"/>
      <c r="E1560" s="67"/>
    </row>
    <row r="1561" spans="1:5" ht="14.25">
      <c r="A1561" s="67"/>
      <c r="B1561" s="67"/>
      <c r="C1561" s="67"/>
      <c r="D1561" s="67"/>
      <c r="E1561" s="67"/>
    </row>
    <row r="1562" spans="1:5" ht="14.25">
      <c r="A1562" s="67"/>
      <c r="B1562" s="67"/>
      <c r="C1562" s="67"/>
      <c r="D1562" s="67"/>
      <c r="E1562" s="67"/>
    </row>
    <row r="1563" spans="1:5" ht="14.25">
      <c r="A1563" s="67"/>
      <c r="B1563" s="67"/>
      <c r="C1563" s="67"/>
      <c r="D1563" s="67"/>
      <c r="E1563" s="67"/>
    </row>
    <row r="1564" spans="1:5" ht="30" customHeight="1">
      <c r="A1564" s="67"/>
      <c r="B1564" s="67"/>
      <c r="C1564" s="67"/>
      <c r="D1564" s="67"/>
      <c r="E1564" s="67"/>
    </row>
    <row r="1565" spans="1:5" ht="14.25">
      <c r="A1565" s="67"/>
      <c r="B1565" s="67"/>
      <c r="C1565" s="67"/>
      <c r="D1565" s="67"/>
      <c r="E1565" s="67"/>
    </row>
    <row r="1566" spans="1:5" ht="14.25">
      <c r="A1566" s="67"/>
      <c r="B1566" s="67"/>
      <c r="C1566" s="67"/>
      <c r="D1566" s="67"/>
      <c r="E1566" s="67"/>
    </row>
    <row r="1567" spans="1:5" ht="14.25">
      <c r="A1567" s="67"/>
      <c r="B1567" s="67"/>
      <c r="C1567" s="67"/>
      <c r="D1567" s="67"/>
      <c r="E1567" s="67"/>
    </row>
    <row r="1568" spans="1:5" s="2" customFormat="1" ht="12.75">
      <c r="A1568" s="67"/>
      <c r="B1568" s="67"/>
      <c r="C1568" s="67"/>
      <c r="D1568" s="67"/>
      <c r="E1568" s="67"/>
    </row>
    <row r="1569" spans="1:5" ht="14.25">
      <c r="A1569" s="67"/>
      <c r="B1569" s="67"/>
      <c r="C1569" s="67"/>
      <c r="D1569" s="67"/>
      <c r="E1569" s="67"/>
    </row>
    <row r="1570" spans="1:5" s="2" customFormat="1" ht="12.75">
      <c r="A1570" s="67"/>
      <c r="B1570" s="67"/>
      <c r="C1570" s="67"/>
      <c r="D1570" s="67"/>
      <c r="E1570" s="67"/>
    </row>
    <row r="1571" spans="1:5" s="2" customFormat="1" ht="12.75">
      <c r="A1571" s="67"/>
      <c r="B1571" s="67"/>
      <c r="C1571" s="67"/>
      <c r="D1571" s="67"/>
      <c r="E1571" s="67"/>
    </row>
    <row r="1572" spans="1:5" s="2" customFormat="1" ht="12.75" customHeight="1">
      <c r="A1572" s="67"/>
      <c r="B1572" s="67"/>
      <c r="C1572" s="67"/>
      <c r="D1572" s="67"/>
      <c r="E1572" s="67"/>
    </row>
    <row r="1573" spans="1:5" ht="14.25">
      <c r="A1573" s="67"/>
      <c r="B1573" s="67"/>
      <c r="C1573" s="67"/>
      <c r="D1573" s="67"/>
      <c r="E1573" s="67"/>
    </row>
    <row r="1574" spans="1:5" ht="15" customHeight="1">
      <c r="A1574" s="67"/>
      <c r="B1574" s="67"/>
      <c r="C1574" s="67"/>
      <c r="D1574" s="67"/>
      <c r="E1574" s="67"/>
    </row>
    <row r="1575" spans="1:5" ht="14.25">
      <c r="A1575" s="67"/>
      <c r="B1575" s="67"/>
      <c r="C1575" s="67"/>
      <c r="D1575" s="67"/>
      <c r="E1575" s="67"/>
    </row>
    <row r="1576" spans="1:5" ht="14.25">
      <c r="A1576" s="67"/>
      <c r="B1576" s="67"/>
      <c r="C1576" s="67"/>
      <c r="D1576" s="67"/>
      <c r="E1576" s="67"/>
    </row>
    <row r="1577" spans="1:5" ht="14.25">
      <c r="A1577" s="67"/>
      <c r="B1577" s="67"/>
      <c r="C1577" s="67"/>
      <c r="D1577" s="67"/>
      <c r="E1577" s="67"/>
    </row>
    <row r="1578" spans="1:5" ht="14.25">
      <c r="A1578" s="67"/>
      <c r="B1578" s="67"/>
      <c r="C1578" s="67"/>
      <c r="D1578" s="67"/>
      <c r="E1578" s="67"/>
    </row>
    <row r="1579" spans="1:5" ht="14.25">
      <c r="A1579" s="67"/>
      <c r="B1579" s="67"/>
      <c r="C1579" s="67"/>
      <c r="D1579" s="67"/>
      <c r="E1579" s="67"/>
    </row>
    <row r="1580" spans="1:5" ht="14.25">
      <c r="A1580" s="67"/>
      <c r="B1580" s="67"/>
      <c r="C1580" s="67"/>
      <c r="D1580" s="67"/>
      <c r="E1580" s="67"/>
    </row>
    <row r="1581" spans="1:5" ht="14.25">
      <c r="A1581" s="67"/>
      <c r="B1581" s="67"/>
      <c r="C1581" s="67"/>
      <c r="D1581" s="67"/>
      <c r="E1581" s="67"/>
    </row>
    <row r="1582" spans="1:5" ht="15" customHeight="1">
      <c r="A1582" s="67"/>
      <c r="B1582" s="67"/>
      <c r="C1582" s="67"/>
      <c r="D1582" s="67"/>
      <c r="E1582" s="67"/>
    </row>
    <row r="1583" spans="1:5" ht="14.25">
      <c r="A1583" s="67"/>
      <c r="B1583" s="67"/>
      <c r="C1583" s="67"/>
      <c r="D1583" s="67"/>
      <c r="E1583" s="67"/>
    </row>
    <row r="1584" spans="1:5" ht="14.25">
      <c r="A1584" s="67"/>
      <c r="B1584" s="67"/>
      <c r="C1584" s="67"/>
      <c r="D1584" s="67"/>
      <c r="E1584" s="67"/>
    </row>
    <row r="1585" spans="1:5" ht="15" customHeight="1">
      <c r="A1585" s="67"/>
      <c r="B1585" s="67"/>
      <c r="C1585" s="67"/>
      <c r="D1585" s="67"/>
      <c r="E1585" s="67"/>
    </row>
    <row r="1586" spans="1:5" ht="14.25">
      <c r="A1586" s="67"/>
      <c r="B1586" s="67"/>
      <c r="C1586" s="67"/>
      <c r="D1586" s="67"/>
      <c r="E1586" s="67"/>
    </row>
    <row r="1587" spans="1:5" ht="14.25">
      <c r="A1587" s="67"/>
      <c r="B1587" s="67"/>
      <c r="C1587" s="67"/>
      <c r="D1587" s="67"/>
      <c r="E1587" s="67"/>
    </row>
    <row r="1588" spans="1:5" ht="14.25">
      <c r="A1588" s="67"/>
      <c r="B1588" s="67"/>
      <c r="C1588" s="67"/>
      <c r="D1588" s="67"/>
      <c r="E1588" s="67"/>
    </row>
    <row r="1589" spans="1:5" s="30" customFormat="1" ht="14.25">
      <c r="A1589" s="67"/>
      <c r="B1589" s="67"/>
      <c r="C1589" s="67"/>
      <c r="D1589" s="67"/>
      <c r="E1589" s="67"/>
    </row>
    <row r="1590" spans="1:5" ht="15" customHeight="1">
      <c r="A1590" s="67"/>
      <c r="B1590" s="67"/>
      <c r="C1590" s="67"/>
      <c r="D1590" s="67"/>
      <c r="E1590" s="67"/>
    </row>
    <row r="1591" spans="1:5" ht="47.25" customHeight="1">
      <c r="A1591" s="67"/>
      <c r="B1591" s="67"/>
      <c r="C1591" s="67"/>
      <c r="D1591" s="67"/>
      <c r="E1591" s="67"/>
    </row>
    <row r="1592" spans="1:5" ht="14.25">
      <c r="A1592" s="67"/>
      <c r="B1592" s="67"/>
      <c r="C1592" s="67"/>
      <c r="D1592" s="67"/>
      <c r="E1592" s="67"/>
    </row>
    <row r="1593" spans="1:5" ht="14.25">
      <c r="A1593" s="67"/>
      <c r="B1593" s="67"/>
      <c r="C1593" s="67"/>
      <c r="D1593" s="67"/>
      <c r="E1593" s="67"/>
    </row>
    <row r="1594" spans="1:5" ht="14.25">
      <c r="A1594" s="67"/>
      <c r="B1594" s="67"/>
      <c r="C1594" s="67"/>
      <c r="D1594" s="67"/>
      <c r="E1594" s="67"/>
    </row>
    <row r="1595" spans="1:5" ht="14.25">
      <c r="A1595" s="67"/>
      <c r="B1595" s="67"/>
      <c r="C1595" s="67"/>
      <c r="D1595" s="67"/>
      <c r="E1595" s="67"/>
    </row>
    <row r="1596" spans="1:5" ht="14.25">
      <c r="A1596" s="67"/>
      <c r="B1596" s="67"/>
      <c r="C1596" s="67"/>
      <c r="D1596" s="67"/>
      <c r="E1596" s="67"/>
    </row>
    <row r="1597" spans="1:5" ht="14.25">
      <c r="A1597" s="67"/>
      <c r="B1597" s="67"/>
      <c r="C1597" s="67"/>
      <c r="D1597" s="67"/>
      <c r="E1597" s="67"/>
    </row>
    <row r="1598" spans="1:5" ht="14.25">
      <c r="A1598" s="67"/>
      <c r="B1598" s="67"/>
      <c r="C1598" s="67"/>
      <c r="D1598" s="67"/>
      <c r="E1598" s="67"/>
    </row>
    <row r="1599" spans="1:5" s="2" customFormat="1" ht="12.75">
      <c r="A1599" s="67"/>
      <c r="B1599" s="67"/>
      <c r="C1599" s="67"/>
      <c r="D1599" s="67"/>
      <c r="E1599" s="67"/>
    </row>
    <row r="1600" spans="1:5" s="2" customFormat="1" ht="12.75">
      <c r="A1600" s="67"/>
      <c r="B1600" s="67"/>
      <c r="C1600" s="67"/>
      <c r="D1600" s="67"/>
      <c r="E1600" s="67"/>
    </row>
    <row r="1601" spans="1:5" ht="14.25">
      <c r="A1601" s="67"/>
      <c r="B1601" s="67"/>
      <c r="C1601" s="67"/>
      <c r="D1601" s="67"/>
      <c r="E1601" s="67"/>
    </row>
    <row r="1602" spans="1:5" s="2" customFormat="1" ht="12.75">
      <c r="A1602" s="67"/>
      <c r="B1602" s="67"/>
      <c r="C1602" s="67"/>
      <c r="D1602" s="67"/>
      <c r="E1602" s="67"/>
    </row>
    <row r="1603" spans="1:5" s="2" customFormat="1" ht="12.75">
      <c r="A1603" s="67"/>
      <c r="B1603" s="67"/>
      <c r="C1603" s="67"/>
      <c r="D1603" s="67"/>
      <c r="E1603" s="67"/>
    </row>
    <row r="1604" spans="1:5" s="2" customFormat="1" ht="12.75" customHeight="1">
      <c r="A1604" s="67"/>
      <c r="B1604" s="67"/>
      <c r="C1604" s="67"/>
      <c r="D1604" s="67"/>
      <c r="E1604" s="67"/>
    </row>
    <row r="1605" spans="1:5" ht="14.25">
      <c r="A1605" s="67"/>
      <c r="B1605" s="67"/>
      <c r="C1605" s="67"/>
      <c r="D1605" s="67"/>
      <c r="E1605" s="67"/>
    </row>
    <row r="1606" spans="1:5" ht="15" customHeight="1">
      <c r="A1606" s="67"/>
      <c r="B1606" s="67"/>
      <c r="C1606" s="67"/>
      <c r="D1606" s="67"/>
      <c r="E1606" s="67"/>
    </row>
    <row r="1607" spans="1:5" ht="14.25">
      <c r="A1607" s="67"/>
      <c r="B1607" s="67"/>
      <c r="C1607" s="67"/>
      <c r="D1607" s="67"/>
      <c r="E1607" s="67"/>
    </row>
    <row r="1608" spans="1:5" ht="14.25">
      <c r="A1608" s="67"/>
      <c r="B1608" s="67"/>
      <c r="C1608" s="67"/>
      <c r="D1608" s="67"/>
      <c r="E1608" s="67"/>
    </row>
    <row r="1609" spans="1:5" ht="14.25">
      <c r="A1609" s="67"/>
      <c r="B1609" s="67"/>
      <c r="C1609" s="67"/>
      <c r="D1609" s="67"/>
      <c r="E1609" s="67"/>
    </row>
    <row r="1610" spans="1:5" ht="14.25">
      <c r="A1610" s="67"/>
      <c r="B1610" s="67"/>
      <c r="C1610" s="67"/>
      <c r="D1610" s="67"/>
      <c r="E1610" s="67"/>
    </row>
    <row r="1611" spans="1:5" ht="14.25">
      <c r="A1611" s="67"/>
      <c r="B1611" s="67"/>
      <c r="C1611" s="67"/>
      <c r="D1611" s="67"/>
      <c r="E1611" s="67"/>
    </row>
    <row r="1612" spans="1:5" ht="14.25">
      <c r="A1612" s="67"/>
      <c r="B1612" s="67"/>
      <c r="C1612" s="67"/>
      <c r="D1612" s="67"/>
      <c r="E1612" s="67"/>
    </row>
    <row r="1613" spans="1:5" ht="14.25">
      <c r="A1613" s="67"/>
      <c r="B1613" s="67"/>
      <c r="C1613" s="67"/>
      <c r="D1613" s="67"/>
      <c r="E1613" s="67"/>
    </row>
    <row r="1614" spans="1:5" ht="15" customHeight="1">
      <c r="A1614" s="67"/>
      <c r="B1614" s="67"/>
      <c r="C1614" s="67"/>
      <c r="D1614" s="67"/>
      <c r="E1614" s="67"/>
    </row>
    <row r="1615" spans="1:5" ht="14.25">
      <c r="A1615" s="67"/>
      <c r="B1615" s="67"/>
      <c r="C1615" s="67"/>
      <c r="D1615" s="67"/>
      <c r="E1615" s="67"/>
    </row>
    <row r="1616" spans="1:5" ht="14.25">
      <c r="A1616" s="67"/>
      <c r="B1616" s="67"/>
      <c r="C1616" s="67"/>
      <c r="D1616" s="67"/>
      <c r="E1616" s="67"/>
    </row>
    <row r="1617" spans="1:5" ht="15" customHeight="1">
      <c r="A1617" s="67"/>
      <c r="B1617" s="67"/>
      <c r="C1617" s="67"/>
      <c r="D1617" s="67"/>
      <c r="E1617" s="67"/>
    </row>
    <row r="1618" spans="1:5" ht="14.25">
      <c r="A1618" s="67"/>
      <c r="B1618" s="67"/>
      <c r="C1618" s="67"/>
      <c r="D1618" s="67"/>
      <c r="E1618" s="67"/>
    </row>
    <row r="1619" spans="1:5" ht="14.25">
      <c r="A1619" s="67"/>
      <c r="B1619" s="67"/>
      <c r="C1619" s="67"/>
      <c r="D1619" s="67"/>
      <c r="E1619" s="67"/>
    </row>
    <row r="1620" spans="1:5" ht="14.25">
      <c r="A1620" s="67"/>
      <c r="B1620" s="67"/>
      <c r="C1620" s="67"/>
      <c r="D1620" s="67"/>
      <c r="E1620" s="67"/>
    </row>
    <row r="1621" spans="1:5" s="30" customFormat="1" ht="14.25">
      <c r="A1621" s="67"/>
      <c r="B1621" s="67"/>
      <c r="C1621" s="67"/>
      <c r="D1621" s="67"/>
      <c r="E1621" s="67"/>
    </row>
    <row r="1622" spans="1:5" ht="15" customHeight="1">
      <c r="A1622" s="67"/>
      <c r="B1622" s="67"/>
      <c r="C1622" s="67"/>
      <c r="D1622" s="67"/>
      <c r="E1622" s="67"/>
    </row>
    <row r="1623" spans="1:5" ht="46.5" customHeight="1">
      <c r="A1623" s="67"/>
      <c r="B1623" s="67"/>
      <c r="C1623" s="67"/>
      <c r="D1623" s="67"/>
      <c r="E1623" s="67"/>
    </row>
    <row r="1624" spans="1:5" ht="14.25">
      <c r="A1624" s="67"/>
      <c r="B1624" s="67"/>
      <c r="C1624" s="67"/>
      <c r="D1624" s="67"/>
      <c r="E1624" s="67"/>
    </row>
    <row r="1625" spans="1:5" ht="14.25">
      <c r="A1625" s="67"/>
      <c r="B1625" s="67"/>
      <c r="C1625" s="67"/>
      <c r="D1625" s="67"/>
      <c r="E1625" s="67"/>
    </row>
    <row r="1626" spans="1:5" ht="14.25">
      <c r="A1626" s="67"/>
      <c r="B1626" s="67"/>
      <c r="C1626" s="67"/>
      <c r="D1626" s="67"/>
      <c r="E1626" s="67"/>
    </row>
    <row r="1627" spans="1:5" ht="14.25">
      <c r="A1627" s="67"/>
      <c r="B1627" s="67"/>
      <c r="C1627" s="67"/>
      <c r="D1627" s="67"/>
      <c r="E1627" s="67"/>
    </row>
    <row r="1628" spans="1:5" ht="14.25">
      <c r="A1628" s="67"/>
      <c r="B1628" s="67"/>
      <c r="C1628" s="67"/>
      <c r="D1628" s="67"/>
      <c r="E1628" s="67"/>
    </row>
    <row r="1629" spans="1:5" ht="14.25">
      <c r="A1629" s="67"/>
      <c r="B1629" s="67"/>
      <c r="C1629" s="67"/>
      <c r="D1629" s="67"/>
      <c r="E1629" s="67"/>
    </row>
    <row r="1630" spans="1:5" s="2" customFormat="1" ht="12.75">
      <c r="A1630" s="67"/>
      <c r="B1630" s="67"/>
      <c r="C1630" s="67"/>
      <c r="D1630" s="67"/>
      <c r="E1630" s="67"/>
    </row>
    <row r="1631" spans="1:5" ht="14.25">
      <c r="A1631" s="67"/>
      <c r="B1631" s="67"/>
      <c r="C1631" s="67"/>
      <c r="D1631" s="67"/>
      <c r="E1631" s="67"/>
    </row>
    <row r="1632" spans="1:5" s="2" customFormat="1" ht="12.75">
      <c r="A1632" s="67"/>
      <c r="B1632" s="67"/>
      <c r="C1632" s="67"/>
      <c r="D1632" s="67"/>
      <c r="E1632" s="67"/>
    </row>
    <row r="1633" spans="1:5" s="2" customFormat="1" ht="12.75">
      <c r="A1633" s="67"/>
      <c r="B1633" s="67"/>
      <c r="C1633" s="67"/>
      <c r="D1633" s="67"/>
      <c r="E1633" s="67"/>
    </row>
    <row r="1634" spans="1:5" s="2" customFormat="1" ht="12.75" customHeight="1">
      <c r="A1634" s="67"/>
      <c r="B1634" s="67"/>
      <c r="C1634" s="67"/>
      <c r="D1634" s="67"/>
      <c r="E1634" s="67"/>
    </row>
    <row r="1635" spans="1:5" ht="14.25">
      <c r="A1635" s="67"/>
      <c r="B1635" s="67"/>
      <c r="C1635" s="67"/>
      <c r="D1635" s="67"/>
      <c r="E1635" s="67"/>
    </row>
    <row r="1636" spans="1:5" ht="15" customHeight="1">
      <c r="A1636" s="67"/>
      <c r="B1636" s="67"/>
      <c r="C1636" s="67"/>
      <c r="D1636" s="67"/>
      <c r="E1636" s="67"/>
    </row>
    <row r="1637" spans="1:5" ht="14.25">
      <c r="A1637" s="67"/>
      <c r="B1637" s="67"/>
      <c r="C1637" s="67"/>
      <c r="D1637" s="67"/>
      <c r="E1637" s="67"/>
    </row>
    <row r="1638" spans="1:5" ht="14.25">
      <c r="A1638" s="67"/>
      <c r="B1638" s="67"/>
      <c r="C1638" s="67"/>
      <c r="D1638" s="67"/>
      <c r="E1638" s="67"/>
    </row>
    <row r="1639" spans="1:5" ht="14.25">
      <c r="A1639" s="67"/>
      <c r="B1639" s="67"/>
      <c r="C1639" s="67"/>
      <c r="D1639" s="67"/>
      <c r="E1639" s="67"/>
    </row>
    <row r="1640" spans="1:5" ht="14.25">
      <c r="A1640" s="67"/>
      <c r="B1640" s="67"/>
      <c r="C1640" s="67"/>
      <c r="D1640" s="67"/>
      <c r="E1640" s="67"/>
    </row>
    <row r="1641" spans="1:5" ht="14.25">
      <c r="A1641" s="67"/>
      <c r="B1641" s="67"/>
      <c r="C1641" s="67"/>
      <c r="D1641" s="67"/>
      <c r="E1641" s="67"/>
    </row>
    <row r="1642" spans="1:5" ht="14.25">
      <c r="A1642" s="67"/>
      <c r="B1642" s="67"/>
      <c r="C1642" s="67"/>
      <c r="D1642" s="67"/>
      <c r="E1642" s="67"/>
    </row>
    <row r="1643" spans="1:5" ht="14.25">
      <c r="A1643" s="67"/>
      <c r="B1643" s="67"/>
      <c r="C1643" s="67"/>
      <c r="D1643" s="67"/>
      <c r="E1643" s="67"/>
    </row>
    <row r="1644" spans="1:5" ht="15" customHeight="1">
      <c r="A1644" s="67"/>
      <c r="B1644" s="67"/>
      <c r="C1644" s="67"/>
      <c r="D1644" s="67"/>
      <c r="E1644" s="67"/>
    </row>
    <row r="1645" spans="1:5" ht="14.25">
      <c r="A1645" s="67"/>
      <c r="B1645" s="67"/>
      <c r="C1645" s="67"/>
      <c r="D1645" s="67"/>
      <c r="E1645" s="67"/>
    </row>
    <row r="1646" spans="1:5" ht="14.25">
      <c r="A1646" s="67"/>
      <c r="B1646" s="67"/>
      <c r="C1646" s="67"/>
      <c r="D1646" s="67"/>
      <c r="E1646" s="67"/>
    </row>
    <row r="1647" spans="1:5" ht="15" customHeight="1">
      <c r="A1647" s="67"/>
      <c r="B1647" s="67"/>
      <c r="C1647" s="67"/>
      <c r="D1647" s="67"/>
      <c r="E1647" s="67"/>
    </row>
    <row r="1648" spans="1:5" ht="14.25">
      <c r="A1648" s="67"/>
      <c r="B1648" s="67"/>
      <c r="C1648" s="67"/>
      <c r="D1648" s="67"/>
      <c r="E1648" s="67"/>
    </row>
    <row r="1649" spans="1:5" ht="14.25">
      <c r="A1649" s="67"/>
      <c r="B1649" s="67"/>
      <c r="C1649" s="67"/>
      <c r="D1649" s="67"/>
      <c r="E1649" s="67"/>
    </row>
    <row r="1650" spans="1:5" ht="14.25">
      <c r="A1650" s="67"/>
      <c r="B1650" s="67"/>
      <c r="C1650" s="67"/>
      <c r="D1650" s="67"/>
      <c r="E1650" s="67"/>
    </row>
    <row r="1651" spans="1:5" s="30" customFormat="1" ht="14.25">
      <c r="A1651" s="67"/>
      <c r="B1651" s="67"/>
      <c r="C1651" s="67"/>
      <c r="D1651" s="67"/>
      <c r="E1651" s="67"/>
    </row>
    <row r="1652" spans="1:5" ht="15" customHeight="1">
      <c r="A1652" s="67"/>
      <c r="B1652" s="67"/>
      <c r="C1652" s="67"/>
      <c r="D1652" s="67"/>
      <c r="E1652" s="67"/>
    </row>
    <row r="1653" spans="1:5" ht="45.75" customHeight="1">
      <c r="A1653" s="67"/>
      <c r="B1653" s="67"/>
      <c r="C1653" s="67"/>
      <c r="D1653" s="67"/>
      <c r="E1653" s="67"/>
    </row>
    <row r="1654" spans="1:5" ht="14.25">
      <c r="A1654" s="67"/>
      <c r="B1654" s="67"/>
      <c r="C1654" s="67"/>
      <c r="D1654" s="67"/>
      <c r="E1654" s="67"/>
    </row>
    <row r="1655" spans="1:5" ht="14.25">
      <c r="A1655" s="67"/>
      <c r="B1655" s="67"/>
      <c r="C1655" s="67"/>
      <c r="D1655" s="67"/>
      <c r="E1655" s="67"/>
    </row>
    <row r="1656" spans="1:5" ht="14.25">
      <c r="A1656" s="67"/>
      <c r="B1656" s="67"/>
      <c r="C1656" s="67"/>
      <c r="D1656" s="67"/>
      <c r="E1656" s="67"/>
    </row>
    <row r="1657" spans="1:5" ht="14.25">
      <c r="A1657" s="67"/>
      <c r="B1657" s="67"/>
      <c r="C1657" s="67"/>
      <c r="D1657" s="67"/>
      <c r="E1657" s="67"/>
    </row>
    <row r="1658" spans="1:5" ht="14.25">
      <c r="A1658" s="67"/>
      <c r="B1658" s="67"/>
      <c r="C1658" s="67"/>
      <c r="D1658" s="67"/>
      <c r="E1658" s="67"/>
    </row>
    <row r="1659" spans="1:5" ht="14.25">
      <c r="A1659" s="67"/>
      <c r="B1659" s="67"/>
      <c r="C1659" s="67"/>
      <c r="D1659" s="67"/>
      <c r="E1659" s="67"/>
    </row>
    <row r="1660" spans="1:5" ht="14.25">
      <c r="A1660" s="67"/>
      <c r="B1660" s="67"/>
      <c r="C1660" s="67"/>
      <c r="D1660" s="67"/>
      <c r="E1660" s="67"/>
    </row>
    <row r="1661" spans="1:5" s="2" customFormat="1" ht="12.75">
      <c r="A1661" s="67"/>
      <c r="B1661" s="67"/>
      <c r="C1661" s="67"/>
      <c r="D1661" s="67"/>
      <c r="E1661" s="67"/>
    </row>
    <row r="1662" spans="1:5" s="2" customFormat="1" ht="12.75">
      <c r="A1662" s="67"/>
      <c r="B1662" s="67"/>
      <c r="C1662" s="67"/>
      <c r="D1662" s="67"/>
      <c r="E1662" s="67"/>
    </row>
    <row r="1663" spans="1:5" ht="14.25">
      <c r="A1663" s="67"/>
      <c r="B1663" s="67"/>
      <c r="C1663" s="67"/>
      <c r="D1663" s="67"/>
      <c r="E1663" s="67"/>
    </row>
    <row r="1664" spans="1:5" s="2" customFormat="1" ht="12.75">
      <c r="A1664" s="67"/>
      <c r="B1664" s="67"/>
      <c r="C1664" s="67"/>
      <c r="D1664" s="67"/>
      <c r="E1664" s="67"/>
    </row>
    <row r="1665" spans="1:5" s="2" customFormat="1" ht="12.75">
      <c r="A1665" s="67"/>
      <c r="B1665" s="67"/>
      <c r="C1665" s="67"/>
      <c r="D1665" s="67"/>
      <c r="E1665" s="67"/>
    </row>
    <row r="1666" spans="1:5" s="2" customFormat="1" ht="12.75" customHeight="1">
      <c r="A1666" s="67"/>
      <c r="B1666" s="67"/>
      <c r="C1666" s="67"/>
      <c r="D1666" s="67"/>
      <c r="E1666" s="67"/>
    </row>
    <row r="1667" spans="1:5" ht="14.25">
      <c r="A1667" s="67"/>
      <c r="B1667" s="67"/>
      <c r="C1667" s="67"/>
      <c r="D1667" s="67"/>
      <c r="E1667" s="67"/>
    </row>
    <row r="1668" spans="1:5" ht="15" customHeight="1">
      <c r="A1668" s="67"/>
      <c r="B1668" s="67"/>
      <c r="C1668" s="67"/>
      <c r="D1668" s="67"/>
      <c r="E1668" s="67"/>
    </row>
    <row r="1669" spans="1:5" ht="14.25">
      <c r="A1669" s="67"/>
      <c r="B1669" s="67"/>
      <c r="C1669" s="67"/>
      <c r="D1669" s="67"/>
      <c r="E1669" s="67"/>
    </row>
    <row r="1670" spans="1:5" ht="14.25">
      <c r="A1670" s="67"/>
      <c r="B1670" s="67"/>
      <c r="C1670" s="67"/>
      <c r="D1670" s="67"/>
      <c r="E1670" s="67"/>
    </row>
    <row r="1671" spans="1:5" ht="14.25">
      <c r="A1671" s="67"/>
      <c r="B1671" s="67"/>
      <c r="C1671" s="67"/>
      <c r="D1671" s="67"/>
      <c r="E1671" s="67"/>
    </row>
    <row r="1672" spans="1:5" ht="14.25">
      <c r="A1672" s="67"/>
      <c r="B1672" s="67"/>
      <c r="C1672" s="67"/>
      <c r="D1672" s="67"/>
      <c r="E1672" s="67"/>
    </row>
    <row r="1673" spans="1:5" ht="14.25">
      <c r="A1673" s="67"/>
      <c r="B1673" s="67"/>
      <c r="C1673" s="67"/>
      <c r="D1673" s="67"/>
      <c r="E1673" s="67"/>
    </row>
    <row r="1674" spans="1:5" ht="14.25">
      <c r="A1674" s="67"/>
      <c r="B1674" s="67"/>
      <c r="C1674" s="67"/>
      <c r="D1674" s="67"/>
      <c r="E1674" s="67"/>
    </row>
    <row r="1675" spans="1:5" ht="14.25">
      <c r="A1675" s="67"/>
      <c r="B1675" s="67"/>
      <c r="C1675" s="67"/>
      <c r="D1675" s="67"/>
      <c r="E1675" s="67"/>
    </row>
    <row r="1676" spans="1:5" ht="15" customHeight="1">
      <c r="A1676" s="67"/>
      <c r="B1676" s="67"/>
      <c r="C1676" s="67"/>
      <c r="D1676" s="67"/>
      <c r="E1676" s="67"/>
    </row>
    <row r="1677" spans="1:5" ht="30" customHeight="1">
      <c r="A1677" s="67"/>
      <c r="B1677" s="67"/>
      <c r="C1677" s="67"/>
      <c r="D1677" s="67"/>
      <c r="E1677" s="67"/>
    </row>
    <row r="1678" spans="1:5" ht="14.25">
      <c r="A1678" s="67"/>
      <c r="B1678" s="67"/>
      <c r="C1678" s="67"/>
      <c r="D1678" s="67"/>
      <c r="E1678" s="67"/>
    </row>
    <row r="1679" spans="1:5" ht="15" customHeight="1">
      <c r="A1679" s="67"/>
      <c r="B1679" s="67"/>
      <c r="C1679" s="67"/>
      <c r="D1679" s="67"/>
      <c r="E1679" s="67"/>
    </row>
    <row r="1680" spans="1:5" ht="14.25">
      <c r="A1680" s="67"/>
      <c r="B1680" s="67"/>
      <c r="C1680" s="67"/>
      <c r="D1680" s="67"/>
      <c r="E1680" s="67"/>
    </row>
    <row r="1681" spans="1:5" ht="14.25">
      <c r="A1681" s="67"/>
      <c r="B1681" s="67"/>
      <c r="C1681" s="67"/>
      <c r="D1681" s="67"/>
      <c r="E1681" s="67"/>
    </row>
    <row r="1682" spans="1:5" ht="14.25">
      <c r="A1682" s="67"/>
      <c r="B1682" s="67"/>
      <c r="C1682" s="67"/>
      <c r="D1682" s="67"/>
      <c r="E1682" s="67"/>
    </row>
    <row r="1683" spans="1:5" s="30" customFormat="1" ht="14.25">
      <c r="A1683" s="67"/>
      <c r="B1683" s="67"/>
      <c r="C1683" s="67"/>
      <c r="D1683" s="67"/>
      <c r="E1683" s="67"/>
    </row>
    <row r="1684" spans="1:5" ht="15" customHeight="1">
      <c r="A1684" s="67"/>
      <c r="B1684" s="67"/>
      <c r="C1684" s="67"/>
      <c r="D1684" s="67"/>
      <c r="E1684" s="67"/>
    </row>
    <row r="1685" spans="1:5" ht="47.25" customHeight="1">
      <c r="A1685" s="67"/>
      <c r="B1685" s="67"/>
      <c r="C1685" s="67"/>
      <c r="D1685" s="67"/>
      <c r="E1685" s="67"/>
    </row>
    <row r="1686" spans="1:5" ht="14.25">
      <c r="A1686" s="67"/>
      <c r="B1686" s="67"/>
      <c r="C1686" s="67"/>
      <c r="D1686" s="67"/>
      <c r="E1686" s="67"/>
    </row>
    <row r="1687" spans="1:5" ht="14.25">
      <c r="A1687" s="67"/>
      <c r="B1687" s="67"/>
      <c r="C1687" s="67"/>
      <c r="D1687" s="67"/>
      <c r="E1687" s="67"/>
    </row>
    <row r="1688" spans="1:5" ht="14.25">
      <c r="A1688" s="67"/>
      <c r="B1688" s="67"/>
      <c r="C1688" s="67"/>
      <c r="D1688" s="67"/>
      <c r="E1688" s="67"/>
    </row>
    <row r="1689" spans="1:5" ht="30" customHeight="1">
      <c r="A1689" s="67"/>
      <c r="B1689" s="67"/>
      <c r="C1689" s="67"/>
      <c r="D1689" s="67"/>
      <c r="E1689" s="67"/>
    </row>
    <row r="1690" spans="1:5" ht="14.25">
      <c r="A1690" s="67"/>
      <c r="B1690" s="67"/>
      <c r="C1690" s="67"/>
      <c r="D1690" s="67"/>
      <c r="E1690" s="67"/>
    </row>
    <row r="1691" spans="1:5" ht="14.25">
      <c r="A1691" s="67"/>
      <c r="B1691" s="67"/>
      <c r="C1691" s="67"/>
      <c r="D1691" s="67"/>
      <c r="E1691" s="67"/>
    </row>
    <row r="1692" spans="1:5" ht="14.25">
      <c r="A1692" s="67"/>
      <c r="B1692" s="67"/>
      <c r="C1692" s="67"/>
      <c r="D1692" s="67"/>
      <c r="E1692" s="67"/>
    </row>
    <row r="1693" spans="1:5" s="2" customFormat="1" ht="12.75">
      <c r="A1693" s="67"/>
      <c r="B1693" s="67"/>
      <c r="C1693" s="67"/>
      <c r="D1693" s="67"/>
      <c r="E1693" s="67"/>
    </row>
    <row r="1694" spans="1:5" ht="14.25">
      <c r="A1694" s="67"/>
      <c r="B1694" s="67"/>
      <c r="C1694" s="67"/>
      <c r="D1694" s="67"/>
      <c r="E1694" s="67"/>
    </row>
    <row r="1695" spans="1:5" s="2" customFormat="1" ht="12.75">
      <c r="A1695" s="67"/>
      <c r="B1695" s="67"/>
      <c r="C1695" s="67"/>
      <c r="D1695" s="67"/>
      <c r="E1695" s="67"/>
    </row>
    <row r="1696" spans="1:5" s="2" customFormat="1" ht="12.75">
      <c r="A1696" s="67"/>
      <c r="B1696" s="67"/>
      <c r="C1696" s="67"/>
      <c r="D1696" s="67"/>
      <c r="E1696" s="67"/>
    </row>
    <row r="1697" spans="1:5" s="2" customFormat="1" ht="12.75" customHeight="1">
      <c r="A1697" s="67"/>
      <c r="B1697" s="67"/>
      <c r="C1697" s="67"/>
      <c r="D1697" s="67"/>
      <c r="E1697" s="67"/>
    </row>
    <row r="1698" spans="1:5" ht="14.25">
      <c r="A1698" s="67"/>
      <c r="B1698" s="67"/>
      <c r="C1698" s="67"/>
      <c r="D1698" s="67"/>
      <c r="E1698" s="67"/>
    </row>
    <row r="1699" spans="1:5" ht="15" customHeight="1">
      <c r="A1699" s="67"/>
      <c r="B1699" s="67"/>
      <c r="C1699" s="67"/>
      <c r="D1699" s="67"/>
      <c r="E1699" s="67"/>
    </row>
    <row r="1700" spans="1:5" ht="14.25">
      <c r="A1700" s="67"/>
      <c r="B1700" s="67"/>
      <c r="C1700" s="67"/>
      <c r="D1700" s="67"/>
      <c r="E1700" s="67"/>
    </row>
    <row r="1701" spans="1:5" ht="14.25">
      <c r="A1701" s="67"/>
      <c r="B1701" s="67"/>
      <c r="C1701" s="67"/>
      <c r="D1701" s="67"/>
      <c r="E1701" s="67"/>
    </row>
    <row r="1702" spans="1:5" ht="14.25">
      <c r="A1702" s="67"/>
      <c r="B1702" s="67"/>
      <c r="C1702" s="67"/>
      <c r="D1702" s="67"/>
      <c r="E1702" s="67"/>
    </row>
    <row r="1703" spans="1:5" ht="14.25">
      <c r="A1703" s="67"/>
      <c r="B1703" s="67"/>
      <c r="C1703" s="67"/>
      <c r="D1703" s="67"/>
      <c r="E1703" s="67"/>
    </row>
    <row r="1704" spans="1:5" ht="14.25">
      <c r="A1704" s="67"/>
      <c r="B1704" s="67"/>
      <c r="C1704" s="67"/>
      <c r="D1704" s="67"/>
      <c r="E1704" s="67"/>
    </row>
    <row r="1705" spans="1:5" ht="14.25">
      <c r="A1705" s="67"/>
      <c r="B1705" s="67"/>
      <c r="C1705" s="67"/>
      <c r="D1705" s="67"/>
      <c r="E1705" s="67"/>
    </row>
    <row r="1706" spans="1:5" ht="14.25">
      <c r="A1706" s="67"/>
      <c r="B1706" s="67"/>
      <c r="C1706" s="67"/>
      <c r="D1706" s="67"/>
      <c r="E1706" s="67"/>
    </row>
    <row r="1707" spans="1:5" ht="14.25">
      <c r="A1707" s="67"/>
      <c r="B1707" s="67"/>
      <c r="C1707" s="67"/>
      <c r="D1707" s="67"/>
      <c r="E1707" s="67"/>
    </row>
    <row r="1708" spans="1:5" ht="14.25">
      <c r="A1708" s="67"/>
      <c r="B1708" s="67"/>
      <c r="C1708" s="67"/>
      <c r="D1708" s="67"/>
      <c r="E1708" s="67"/>
    </row>
    <row r="1709" spans="1:5" ht="14.25">
      <c r="A1709" s="67"/>
      <c r="B1709" s="67"/>
      <c r="C1709" s="67"/>
      <c r="D1709" s="67"/>
      <c r="E1709" s="67"/>
    </row>
    <row r="1710" spans="1:5" ht="15" customHeight="1">
      <c r="A1710" s="67"/>
      <c r="B1710" s="67"/>
      <c r="C1710" s="67"/>
      <c r="D1710" s="67"/>
      <c r="E1710" s="67"/>
    </row>
    <row r="1711" spans="1:5" ht="14.25">
      <c r="A1711" s="67"/>
      <c r="B1711" s="67"/>
      <c r="C1711" s="67"/>
      <c r="D1711" s="67"/>
      <c r="E1711" s="67"/>
    </row>
    <row r="1712" spans="1:5" ht="14.25">
      <c r="A1712" s="67"/>
      <c r="B1712" s="67"/>
      <c r="C1712" s="67"/>
      <c r="D1712" s="67"/>
      <c r="E1712" s="67"/>
    </row>
    <row r="1713" spans="1:5" ht="15" customHeight="1">
      <c r="A1713" s="67"/>
      <c r="B1713" s="67"/>
      <c r="C1713" s="67"/>
      <c r="D1713" s="67"/>
      <c r="E1713" s="67"/>
    </row>
    <row r="1714" spans="1:5" ht="15" customHeight="1">
      <c r="A1714" s="67"/>
      <c r="B1714" s="67"/>
      <c r="C1714" s="67"/>
      <c r="D1714" s="67"/>
      <c r="E1714" s="67"/>
    </row>
    <row r="1715" spans="1:5" ht="16.5" customHeight="1">
      <c r="A1715" s="67"/>
      <c r="B1715" s="67"/>
      <c r="C1715" s="67"/>
      <c r="D1715" s="67"/>
      <c r="E1715" s="67"/>
    </row>
    <row r="1716" spans="1:5" ht="14.25">
      <c r="A1716" s="67"/>
      <c r="B1716" s="67"/>
      <c r="C1716" s="67"/>
      <c r="D1716" s="67"/>
      <c r="E1716" s="67"/>
    </row>
    <row r="1717" spans="1:5" ht="14.25">
      <c r="A1717" s="67"/>
      <c r="B1717" s="67"/>
      <c r="C1717" s="67"/>
      <c r="D1717" s="67"/>
      <c r="E1717" s="67"/>
    </row>
    <row r="1718" spans="1:5" ht="14.25">
      <c r="A1718" s="67"/>
      <c r="B1718" s="67"/>
      <c r="C1718" s="67"/>
      <c r="D1718" s="67"/>
      <c r="E1718" s="67"/>
    </row>
    <row r="1719" spans="1:5" ht="14.25">
      <c r="A1719" s="67"/>
      <c r="B1719" s="67"/>
      <c r="C1719" s="67"/>
      <c r="D1719" s="67"/>
      <c r="E1719" s="67"/>
    </row>
    <row r="1720" spans="1:5" ht="14.25">
      <c r="A1720" s="67"/>
      <c r="B1720" s="67"/>
      <c r="C1720" s="67"/>
      <c r="D1720" s="67"/>
      <c r="E1720" s="67"/>
    </row>
    <row r="1721" spans="1:5" s="30" customFormat="1" ht="14.25">
      <c r="A1721" s="67"/>
      <c r="B1721" s="67"/>
      <c r="C1721" s="67"/>
      <c r="D1721" s="67"/>
      <c r="E1721" s="67"/>
    </row>
    <row r="1722" spans="1:5" ht="18.75" customHeight="1">
      <c r="A1722" s="67"/>
      <c r="B1722" s="67"/>
      <c r="C1722" s="67"/>
      <c r="D1722" s="67"/>
      <c r="E1722" s="67"/>
    </row>
    <row r="1723" spans="1:5" ht="30" customHeight="1">
      <c r="A1723" s="67"/>
      <c r="B1723" s="67"/>
      <c r="C1723" s="67"/>
      <c r="D1723" s="67"/>
      <c r="E1723" s="67"/>
    </row>
    <row r="1724" spans="1:5" ht="14.25">
      <c r="A1724" s="67"/>
      <c r="B1724" s="67"/>
      <c r="C1724" s="67"/>
      <c r="D1724" s="67"/>
      <c r="E1724" s="67"/>
    </row>
    <row r="1725" spans="1:5" ht="14.25">
      <c r="A1725" s="67"/>
      <c r="B1725" s="67"/>
      <c r="C1725" s="67"/>
      <c r="D1725" s="67"/>
      <c r="E1725" s="67"/>
    </row>
    <row r="1726" spans="1:5" ht="14.25">
      <c r="A1726" s="67"/>
      <c r="B1726" s="67"/>
      <c r="C1726" s="67"/>
      <c r="D1726" s="67"/>
      <c r="E1726" s="67"/>
    </row>
    <row r="1727" spans="1:5" ht="14.25">
      <c r="A1727" s="67"/>
      <c r="B1727" s="67"/>
      <c r="C1727" s="67"/>
      <c r="D1727" s="67"/>
      <c r="E1727" s="67"/>
    </row>
    <row r="1728" spans="1:5" ht="14.25">
      <c r="A1728" s="67"/>
      <c r="B1728" s="67"/>
      <c r="C1728" s="67"/>
      <c r="D1728" s="67"/>
      <c r="E1728" s="67"/>
    </row>
    <row r="1729" spans="1:5" ht="14.25">
      <c r="A1729" s="67"/>
      <c r="B1729" s="67"/>
      <c r="C1729" s="67"/>
      <c r="D1729" s="67"/>
      <c r="E1729" s="67"/>
    </row>
    <row r="1730" spans="1:5" ht="14.25">
      <c r="A1730" s="67"/>
      <c r="B1730" s="67"/>
      <c r="C1730" s="67"/>
      <c r="D1730" s="67"/>
      <c r="E1730" s="67"/>
    </row>
    <row r="1731" spans="1:5" ht="14.25">
      <c r="A1731" s="67"/>
      <c r="B1731" s="67"/>
      <c r="C1731" s="67"/>
      <c r="D1731" s="67"/>
      <c r="E1731" s="67"/>
    </row>
    <row r="1732" spans="1:5" ht="14.25">
      <c r="A1732" s="67"/>
      <c r="B1732" s="67"/>
      <c r="C1732" s="67"/>
      <c r="D1732" s="67"/>
      <c r="E1732" s="67"/>
    </row>
    <row r="1733" spans="1:5" ht="14.25">
      <c r="A1733" s="67"/>
      <c r="B1733" s="67"/>
      <c r="C1733" s="67"/>
      <c r="D1733" s="67"/>
      <c r="E1733" s="67"/>
    </row>
    <row r="1734" spans="1:5" s="2" customFormat="1" ht="12.75">
      <c r="A1734" s="67"/>
      <c r="B1734" s="67"/>
      <c r="C1734" s="67"/>
      <c r="D1734" s="67"/>
      <c r="E1734" s="67"/>
    </row>
    <row r="1735" spans="1:5" s="30" customFormat="1" ht="14.25">
      <c r="A1735" s="67"/>
      <c r="B1735" s="67"/>
      <c r="C1735" s="67"/>
      <c r="D1735" s="67"/>
      <c r="E1735" s="67"/>
    </row>
    <row r="1736" spans="1:5" ht="14.25">
      <c r="A1736" s="67"/>
      <c r="B1736" s="67"/>
      <c r="C1736" s="67"/>
      <c r="D1736" s="67"/>
      <c r="E1736" s="67"/>
    </row>
    <row r="1737" spans="1:5" ht="14.25">
      <c r="A1737" s="67"/>
      <c r="B1737" s="67"/>
      <c r="C1737" s="67"/>
      <c r="D1737" s="67"/>
      <c r="E1737" s="67"/>
    </row>
    <row r="1738" spans="1:5" s="2" customFormat="1" ht="12.75">
      <c r="A1738" s="67"/>
      <c r="B1738" s="67"/>
      <c r="C1738" s="67"/>
      <c r="D1738" s="67"/>
      <c r="E1738" s="67"/>
    </row>
    <row r="1739" spans="1:5" ht="14.25">
      <c r="A1739" s="67"/>
      <c r="B1739" s="67"/>
      <c r="C1739" s="67"/>
      <c r="D1739" s="67"/>
      <c r="E1739" s="67"/>
    </row>
    <row r="1740" spans="1:5" s="2" customFormat="1" ht="12.75">
      <c r="A1740" s="67"/>
      <c r="B1740" s="67"/>
      <c r="C1740" s="67"/>
      <c r="D1740" s="67"/>
      <c r="E1740" s="67"/>
    </row>
    <row r="1741" spans="1:5" s="2" customFormat="1" ht="12.75">
      <c r="A1741" s="67"/>
      <c r="B1741" s="67"/>
      <c r="C1741" s="67"/>
      <c r="D1741" s="67"/>
      <c r="E1741" s="67"/>
    </row>
    <row r="1742" spans="1:5" s="2" customFormat="1" ht="12.75" customHeight="1">
      <c r="A1742" s="67"/>
      <c r="B1742" s="67"/>
      <c r="C1742" s="67"/>
      <c r="D1742" s="67"/>
      <c r="E1742" s="67"/>
    </row>
    <row r="1743" spans="1:5" ht="14.25">
      <c r="A1743" s="67"/>
      <c r="B1743" s="67"/>
      <c r="C1743" s="67"/>
      <c r="D1743" s="67"/>
      <c r="E1743" s="67"/>
    </row>
    <row r="1744" spans="1:5" ht="14.25">
      <c r="A1744" s="67"/>
      <c r="B1744" s="67"/>
      <c r="C1744" s="67"/>
      <c r="D1744" s="67"/>
      <c r="E1744" s="67"/>
    </row>
    <row r="1745" spans="1:5" ht="14.25">
      <c r="A1745" s="67"/>
      <c r="B1745" s="67"/>
      <c r="C1745" s="67"/>
      <c r="D1745" s="67"/>
      <c r="E1745" s="67"/>
    </row>
    <row r="1746" spans="1:5" ht="14.25">
      <c r="A1746" s="67"/>
      <c r="B1746" s="67"/>
      <c r="C1746" s="67"/>
      <c r="D1746" s="67"/>
      <c r="E1746" s="67"/>
    </row>
    <row r="1747" spans="1:5" ht="14.25">
      <c r="A1747" s="67"/>
      <c r="B1747" s="67"/>
      <c r="C1747" s="67"/>
      <c r="D1747" s="67"/>
      <c r="E1747" s="67"/>
    </row>
    <row r="1748" spans="1:5" ht="14.25">
      <c r="A1748" s="67"/>
      <c r="B1748" s="67"/>
      <c r="C1748" s="67"/>
      <c r="D1748" s="67"/>
      <c r="E1748" s="67"/>
    </row>
    <row r="1749" spans="1:5" ht="14.25">
      <c r="A1749" s="67"/>
      <c r="B1749" s="67"/>
      <c r="C1749" s="67"/>
      <c r="D1749" s="67"/>
      <c r="E1749" s="67"/>
    </row>
    <row r="1750" spans="1:5" ht="14.25">
      <c r="A1750" s="67"/>
      <c r="B1750" s="67"/>
      <c r="C1750" s="67"/>
      <c r="D1750" s="67"/>
      <c r="E1750" s="67"/>
    </row>
    <row r="1751" spans="1:5" ht="14.25">
      <c r="A1751" s="67"/>
      <c r="B1751" s="67"/>
      <c r="C1751" s="67"/>
      <c r="D1751" s="67"/>
      <c r="E1751" s="67"/>
    </row>
    <row r="1752" spans="1:5" ht="14.25">
      <c r="A1752" s="67"/>
      <c r="B1752" s="67"/>
      <c r="C1752" s="67"/>
      <c r="D1752" s="67"/>
      <c r="E1752" s="67"/>
    </row>
    <row r="1753" spans="1:5" ht="14.25">
      <c r="A1753" s="67"/>
      <c r="B1753" s="67"/>
      <c r="C1753" s="67"/>
      <c r="D1753" s="67"/>
      <c r="E1753" s="67"/>
    </row>
    <row r="1754" spans="1:5" ht="14.25">
      <c r="A1754" s="67"/>
      <c r="B1754" s="67"/>
      <c r="C1754" s="67"/>
      <c r="D1754" s="67"/>
      <c r="E1754" s="67"/>
    </row>
    <row r="1755" spans="1:5" ht="14.25">
      <c r="A1755" s="67"/>
      <c r="B1755" s="67"/>
      <c r="C1755" s="67"/>
      <c r="D1755" s="67"/>
      <c r="E1755" s="67"/>
    </row>
    <row r="1756" spans="1:5" ht="27.75" customHeight="1">
      <c r="A1756" s="67"/>
      <c r="B1756" s="67"/>
      <c r="C1756" s="67"/>
      <c r="D1756" s="67"/>
      <c r="E1756" s="67"/>
    </row>
    <row r="1757" spans="1:5" ht="14.25">
      <c r="A1757" s="67"/>
      <c r="B1757" s="67"/>
      <c r="C1757" s="67"/>
      <c r="D1757" s="67"/>
      <c r="E1757" s="67"/>
    </row>
    <row r="1758" spans="1:5" ht="14.25">
      <c r="A1758" s="67"/>
      <c r="B1758" s="67"/>
      <c r="C1758" s="67"/>
      <c r="D1758" s="67"/>
      <c r="E1758" s="67"/>
    </row>
    <row r="1759" spans="1:5" ht="14.25">
      <c r="A1759" s="67"/>
      <c r="B1759" s="67"/>
      <c r="C1759" s="67"/>
      <c r="D1759" s="67"/>
      <c r="E1759" s="67"/>
    </row>
    <row r="1760" spans="1:5" ht="14.25">
      <c r="A1760" s="67"/>
      <c r="B1760" s="67"/>
      <c r="C1760" s="67"/>
      <c r="D1760" s="67"/>
      <c r="E1760" s="67"/>
    </row>
    <row r="1761" spans="1:5" ht="14.25">
      <c r="A1761" s="67"/>
      <c r="B1761" s="67"/>
      <c r="C1761" s="67"/>
      <c r="D1761" s="67"/>
      <c r="E1761" s="67"/>
    </row>
    <row r="1762" spans="1:5" ht="14.25">
      <c r="A1762" s="67"/>
      <c r="B1762" s="67"/>
      <c r="C1762" s="67"/>
      <c r="D1762" s="67"/>
      <c r="E1762" s="67"/>
    </row>
    <row r="1763" spans="1:5" ht="14.25">
      <c r="A1763" s="67"/>
      <c r="B1763" s="67"/>
      <c r="C1763" s="67"/>
      <c r="D1763" s="67"/>
      <c r="E1763" s="67"/>
    </row>
    <row r="1764" spans="1:5" ht="14.25">
      <c r="A1764" s="67"/>
      <c r="B1764" s="67"/>
      <c r="C1764" s="67"/>
      <c r="D1764" s="67"/>
      <c r="E1764" s="67"/>
    </row>
    <row r="1765" spans="1:5" ht="14.25">
      <c r="A1765" s="67"/>
      <c r="B1765" s="67"/>
      <c r="C1765" s="67"/>
      <c r="D1765" s="67"/>
      <c r="E1765" s="67"/>
    </row>
    <row r="1766" spans="1:5" ht="14.25">
      <c r="A1766" s="67"/>
      <c r="B1766" s="67"/>
      <c r="C1766" s="67"/>
      <c r="D1766" s="67"/>
      <c r="E1766" s="67"/>
    </row>
    <row r="1767" spans="1:5" ht="14.25">
      <c r="A1767" s="67"/>
      <c r="B1767" s="67"/>
      <c r="C1767" s="67"/>
      <c r="D1767" s="67"/>
      <c r="E1767" s="67"/>
    </row>
    <row r="1768" spans="1:5" ht="14.25">
      <c r="A1768" s="67"/>
      <c r="B1768" s="67"/>
      <c r="C1768" s="67"/>
      <c r="D1768" s="67"/>
      <c r="E1768" s="67"/>
    </row>
    <row r="1769" spans="1:5" ht="14.25">
      <c r="A1769" s="67"/>
      <c r="B1769" s="67"/>
      <c r="C1769" s="67"/>
      <c r="D1769" s="67"/>
      <c r="E1769" s="67"/>
    </row>
    <row r="1770" spans="1:5" ht="14.25">
      <c r="A1770" s="67"/>
      <c r="B1770" s="67"/>
      <c r="C1770" s="67"/>
      <c r="D1770" s="67"/>
      <c r="E1770" s="67"/>
    </row>
    <row r="1771" spans="1:5" ht="14.25">
      <c r="A1771" s="67"/>
      <c r="B1771" s="67"/>
      <c r="C1771" s="67"/>
      <c r="D1771" s="67"/>
      <c r="E1771" s="67"/>
    </row>
    <row r="1772" spans="1:5" ht="14.25">
      <c r="A1772" s="67"/>
      <c r="B1772" s="67"/>
      <c r="C1772" s="67"/>
      <c r="D1772" s="67"/>
      <c r="E1772" s="67"/>
    </row>
    <row r="1773" spans="1:5" ht="14.25">
      <c r="A1773" s="67"/>
      <c r="B1773" s="67"/>
      <c r="C1773" s="67"/>
      <c r="D1773" s="67"/>
      <c r="E1773" s="67"/>
    </row>
    <row r="1774" spans="1:5" ht="14.25">
      <c r="A1774" s="67"/>
      <c r="B1774" s="67"/>
      <c r="C1774" s="67"/>
      <c r="D1774" s="67"/>
      <c r="E1774" s="67"/>
    </row>
    <row r="1775" spans="1:5" ht="15" customHeight="1">
      <c r="A1775" s="67"/>
      <c r="B1775" s="67"/>
      <c r="C1775" s="67"/>
      <c r="D1775" s="67"/>
      <c r="E1775" s="67"/>
    </row>
    <row r="1776" spans="1:5" ht="14.25">
      <c r="A1776" s="67"/>
      <c r="B1776" s="67"/>
      <c r="C1776" s="67"/>
      <c r="D1776" s="67"/>
      <c r="E1776" s="67"/>
    </row>
    <row r="1777" spans="1:5" ht="14.25">
      <c r="A1777" s="67"/>
      <c r="B1777" s="67"/>
      <c r="C1777" s="67"/>
      <c r="D1777" s="67"/>
      <c r="E1777" s="67"/>
    </row>
    <row r="1778" spans="1:5" ht="14.25">
      <c r="A1778" s="67"/>
      <c r="B1778" s="67"/>
      <c r="C1778" s="67"/>
      <c r="D1778" s="67"/>
      <c r="E1778" s="67"/>
    </row>
    <row r="1779" spans="1:5" ht="14.25">
      <c r="A1779" s="67"/>
      <c r="B1779" s="67"/>
      <c r="C1779" s="67"/>
      <c r="D1779" s="67"/>
      <c r="E1779" s="67"/>
    </row>
    <row r="1780" spans="1:5" ht="14.25">
      <c r="A1780" s="67"/>
      <c r="B1780" s="67"/>
      <c r="C1780" s="67"/>
      <c r="D1780" s="67"/>
      <c r="E1780" s="67"/>
    </row>
    <row r="1781" spans="1:5" ht="14.25">
      <c r="A1781" s="67"/>
      <c r="B1781" s="67"/>
      <c r="C1781" s="67"/>
      <c r="D1781" s="67"/>
      <c r="E1781" s="67"/>
    </row>
    <row r="1782" spans="1:5" ht="14.25">
      <c r="A1782" s="67"/>
      <c r="B1782" s="67"/>
      <c r="C1782" s="67"/>
      <c r="D1782" s="67"/>
      <c r="E1782" s="67"/>
    </row>
    <row r="1783" spans="1:5" ht="14.25">
      <c r="A1783" s="67"/>
      <c r="B1783" s="67"/>
      <c r="C1783" s="67"/>
      <c r="D1783" s="67"/>
      <c r="E1783" s="67"/>
    </row>
    <row r="1784" spans="1:5" ht="15" customHeight="1">
      <c r="A1784" s="67"/>
      <c r="B1784" s="67"/>
      <c r="C1784" s="67"/>
      <c r="D1784" s="67"/>
      <c r="E1784" s="67"/>
    </row>
    <row r="1785" spans="1:5" ht="15" customHeight="1">
      <c r="A1785" s="67"/>
      <c r="B1785" s="67"/>
      <c r="C1785" s="67"/>
      <c r="D1785" s="67"/>
      <c r="E1785" s="67"/>
    </row>
    <row r="1786" spans="1:5" ht="16.5" customHeight="1">
      <c r="A1786" s="67"/>
      <c r="B1786" s="67"/>
      <c r="C1786" s="67"/>
      <c r="D1786" s="67"/>
      <c r="E1786" s="67"/>
    </row>
    <row r="1787" spans="1:5" ht="14.25">
      <c r="A1787" s="67"/>
      <c r="B1787" s="67"/>
      <c r="C1787" s="67"/>
      <c r="D1787" s="67"/>
      <c r="E1787" s="67"/>
    </row>
    <row r="1788" spans="1:5" ht="14.25">
      <c r="A1788" s="67"/>
      <c r="B1788" s="67"/>
      <c r="C1788" s="67"/>
      <c r="D1788" s="67"/>
      <c r="E1788" s="67"/>
    </row>
    <row r="1789" spans="1:5" ht="14.25">
      <c r="A1789" s="67"/>
      <c r="B1789" s="67"/>
      <c r="C1789" s="67"/>
      <c r="D1789" s="67"/>
      <c r="E1789" s="67"/>
    </row>
    <row r="1790" spans="1:5" ht="14.25">
      <c r="A1790" s="67"/>
      <c r="B1790" s="67"/>
      <c r="C1790" s="67"/>
      <c r="D1790" s="67"/>
      <c r="E1790" s="67"/>
    </row>
    <row r="1791" spans="1:5" s="30" customFormat="1" ht="14.25">
      <c r="A1791" s="67"/>
      <c r="B1791" s="67"/>
      <c r="C1791" s="67"/>
      <c r="D1791" s="67"/>
      <c r="E1791" s="67"/>
    </row>
    <row r="1792" spans="1:5" ht="18.75" customHeight="1">
      <c r="A1792" s="67"/>
      <c r="B1792" s="67"/>
      <c r="C1792" s="67"/>
      <c r="D1792" s="67"/>
      <c r="E1792" s="67"/>
    </row>
    <row r="1793" spans="1:5" ht="30" customHeight="1">
      <c r="A1793" s="67"/>
      <c r="B1793" s="67"/>
      <c r="C1793" s="67"/>
      <c r="D1793" s="67"/>
      <c r="E1793" s="67"/>
    </row>
    <row r="1794" spans="1:5" ht="14.25">
      <c r="A1794" s="67"/>
      <c r="B1794" s="67"/>
      <c r="C1794" s="67"/>
      <c r="D1794" s="67"/>
      <c r="E1794" s="67"/>
    </row>
    <row r="1795" spans="1:5" ht="14.25">
      <c r="A1795" s="67"/>
      <c r="B1795" s="67"/>
      <c r="C1795" s="67"/>
      <c r="D1795" s="67"/>
      <c r="E1795" s="67"/>
    </row>
    <row r="1796" spans="1:5" ht="14.25">
      <c r="A1796" s="67"/>
      <c r="B1796" s="67"/>
      <c r="C1796" s="67"/>
      <c r="D1796" s="67"/>
      <c r="E1796" s="67"/>
    </row>
    <row r="1797" spans="1:5" ht="14.25">
      <c r="A1797" s="67"/>
      <c r="B1797" s="67"/>
      <c r="C1797" s="67"/>
      <c r="D1797" s="67"/>
      <c r="E1797" s="67"/>
    </row>
    <row r="1798" spans="1:5" ht="14.25">
      <c r="A1798" s="67"/>
      <c r="B1798" s="67"/>
      <c r="C1798" s="67"/>
      <c r="D1798" s="67"/>
      <c r="E1798" s="67"/>
    </row>
    <row r="1799" spans="1:5" s="2" customFormat="1" ht="12.75">
      <c r="A1799" s="67"/>
      <c r="B1799" s="67"/>
      <c r="C1799" s="67"/>
      <c r="D1799" s="67"/>
      <c r="E1799" s="67"/>
    </row>
    <row r="1800" spans="1:5" ht="14.25">
      <c r="A1800" s="67"/>
      <c r="B1800" s="67"/>
      <c r="C1800" s="67"/>
      <c r="D1800" s="67"/>
      <c r="E1800" s="67"/>
    </row>
    <row r="1801" spans="1:5" s="2" customFormat="1" ht="12.75">
      <c r="A1801" s="67"/>
      <c r="B1801" s="67"/>
      <c r="C1801" s="67"/>
      <c r="D1801" s="67"/>
      <c r="E1801" s="67"/>
    </row>
    <row r="1802" spans="1:5" s="2" customFormat="1" ht="12.75" customHeight="1">
      <c r="A1802" s="67"/>
      <c r="B1802" s="67"/>
      <c r="C1802" s="67"/>
      <c r="D1802" s="67"/>
      <c r="E1802" s="67"/>
    </row>
    <row r="1803" spans="1:5" ht="14.25">
      <c r="A1803" s="67"/>
      <c r="B1803" s="67"/>
      <c r="C1803" s="67"/>
      <c r="D1803" s="67"/>
      <c r="E1803" s="67"/>
    </row>
    <row r="1804" spans="1:5" ht="14.25">
      <c r="A1804" s="67"/>
      <c r="B1804" s="67"/>
      <c r="C1804" s="67"/>
      <c r="D1804" s="67"/>
      <c r="E1804" s="67"/>
    </row>
    <row r="1805" spans="1:5" ht="14.25">
      <c r="A1805" s="67"/>
      <c r="B1805" s="67"/>
      <c r="C1805" s="67"/>
      <c r="D1805" s="67"/>
      <c r="E1805" s="67"/>
    </row>
    <row r="1806" spans="1:5" ht="14.25">
      <c r="A1806" s="67"/>
      <c r="B1806" s="67"/>
      <c r="C1806" s="67"/>
      <c r="D1806" s="67"/>
      <c r="E1806" s="67"/>
    </row>
    <row r="1807" spans="1:5" ht="14.25">
      <c r="A1807" s="67"/>
      <c r="B1807" s="67"/>
      <c r="C1807" s="67"/>
      <c r="D1807" s="67"/>
      <c r="E1807" s="67"/>
    </row>
    <row r="1808" spans="1:5" ht="14.25">
      <c r="A1808" s="67"/>
      <c r="B1808" s="67"/>
      <c r="C1808" s="67"/>
      <c r="D1808" s="67"/>
      <c r="E1808" s="67"/>
    </row>
    <row r="1809" spans="1:5" ht="14.25">
      <c r="A1809" s="67"/>
      <c r="B1809" s="67"/>
      <c r="C1809" s="67"/>
      <c r="D1809" s="67"/>
      <c r="E1809" s="67"/>
    </row>
    <row r="1810" spans="1:5" ht="14.25">
      <c r="A1810" s="67"/>
      <c r="B1810" s="67"/>
      <c r="C1810" s="67"/>
      <c r="D1810" s="67"/>
      <c r="E1810" s="67"/>
    </row>
    <row r="1811" spans="1:5" ht="14.25">
      <c r="A1811" s="67"/>
      <c r="B1811" s="67"/>
      <c r="C1811" s="67"/>
      <c r="D1811" s="67"/>
      <c r="E1811" s="67"/>
    </row>
    <row r="1812" spans="1:5" ht="15" customHeight="1">
      <c r="A1812" s="67"/>
      <c r="B1812" s="67"/>
      <c r="C1812" s="67"/>
      <c r="D1812" s="67"/>
      <c r="E1812" s="67"/>
    </row>
    <row r="1813" spans="1:5" ht="14.25">
      <c r="A1813" s="67"/>
      <c r="B1813" s="67"/>
      <c r="C1813" s="67"/>
      <c r="D1813" s="67"/>
      <c r="E1813" s="67"/>
    </row>
    <row r="1814" spans="1:5" ht="14.25">
      <c r="A1814" s="67"/>
      <c r="B1814" s="67"/>
      <c r="C1814" s="67"/>
      <c r="D1814" s="67"/>
      <c r="E1814" s="67"/>
    </row>
    <row r="1815" spans="1:5" ht="14.25">
      <c r="A1815" s="67"/>
      <c r="B1815" s="67"/>
      <c r="C1815" s="67"/>
      <c r="D1815" s="67"/>
      <c r="E1815" s="67"/>
    </row>
    <row r="1816" spans="1:5" ht="14.25">
      <c r="A1816" s="67"/>
      <c r="B1816" s="67"/>
      <c r="C1816" s="67"/>
      <c r="D1816" s="67"/>
      <c r="E1816" s="67"/>
    </row>
    <row r="1817" spans="1:5" ht="14.25">
      <c r="A1817" s="67"/>
      <c r="B1817" s="67"/>
      <c r="C1817" s="67"/>
      <c r="D1817" s="67"/>
      <c r="E1817" s="67"/>
    </row>
    <row r="1818" spans="1:5" ht="14.25">
      <c r="A1818" s="67"/>
      <c r="B1818" s="67"/>
      <c r="C1818" s="67"/>
      <c r="D1818" s="67"/>
      <c r="E1818" s="67"/>
    </row>
    <row r="1819" spans="1:5" ht="14.25">
      <c r="A1819" s="67"/>
      <c r="B1819" s="67"/>
      <c r="C1819" s="67"/>
      <c r="D1819" s="67"/>
      <c r="E1819" s="67"/>
    </row>
    <row r="1820" spans="1:5" ht="14.25">
      <c r="A1820" s="67"/>
      <c r="B1820" s="67"/>
      <c r="C1820" s="67"/>
      <c r="D1820" s="67"/>
      <c r="E1820" s="67"/>
    </row>
    <row r="1821" spans="1:5" ht="15" customHeight="1">
      <c r="A1821" s="67"/>
      <c r="B1821" s="67"/>
      <c r="C1821" s="67"/>
      <c r="D1821" s="67"/>
      <c r="E1821" s="67"/>
    </row>
    <row r="1822" spans="1:5" ht="15" customHeight="1">
      <c r="A1822" s="67"/>
      <c r="B1822" s="67"/>
      <c r="C1822" s="67"/>
      <c r="D1822" s="67"/>
      <c r="E1822" s="67"/>
    </row>
    <row r="1823" spans="1:5" ht="15" customHeight="1">
      <c r="A1823" s="67"/>
      <c r="B1823" s="67"/>
      <c r="C1823" s="67"/>
      <c r="D1823" s="67"/>
      <c r="E1823" s="67"/>
    </row>
    <row r="1824" spans="1:5" ht="15" customHeight="1">
      <c r="A1824" s="67"/>
      <c r="B1824" s="67"/>
      <c r="C1824" s="67"/>
      <c r="D1824" s="67"/>
      <c r="E1824" s="67"/>
    </row>
    <row r="1825" spans="1:5" ht="14.25">
      <c r="A1825" s="67"/>
      <c r="B1825" s="67"/>
      <c r="C1825" s="67"/>
      <c r="D1825" s="67"/>
      <c r="E1825" s="67"/>
    </row>
    <row r="1826" spans="1:5" ht="14.25">
      <c r="A1826" s="67"/>
      <c r="B1826" s="67"/>
      <c r="C1826" s="67"/>
      <c r="D1826" s="67"/>
      <c r="E1826" s="67"/>
    </row>
    <row r="1827" spans="1:5" ht="14.25">
      <c r="A1827" s="67"/>
      <c r="B1827" s="67"/>
      <c r="C1827" s="67"/>
      <c r="D1827" s="67"/>
      <c r="E1827" s="67"/>
    </row>
    <row r="1828" spans="1:5" s="30" customFormat="1" ht="14.25">
      <c r="A1828" s="67"/>
      <c r="B1828" s="67"/>
      <c r="C1828" s="67"/>
      <c r="D1828" s="67"/>
      <c r="E1828" s="67"/>
    </row>
    <row r="1829" spans="1:5" ht="15" customHeight="1">
      <c r="A1829" s="67"/>
      <c r="B1829" s="67"/>
      <c r="C1829" s="67"/>
      <c r="D1829" s="67"/>
      <c r="E1829" s="67"/>
    </row>
    <row r="1830" spans="1:5" ht="46.5" customHeight="1">
      <c r="A1830" s="67"/>
      <c r="B1830" s="67"/>
      <c r="C1830" s="67"/>
      <c r="D1830" s="67"/>
      <c r="E1830" s="67"/>
    </row>
    <row r="1831" spans="1:5" ht="14.25">
      <c r="A1831" s="67"/>
      <c r="B1831" s="67"/>
      <c r="C1831" s="67"/>
      <c r="D1831" s="67"/>
      <c r="E1831" s="67"/>
    </row>
    <row r="1832" spans="1:5" ht="14.25">
      <c r="A1832" s="67"/>
      <c r="B1832" s="67"/>
      <c r="C1832" s="67"/>
      <c r="D1832" s="67"/>
      <c r="E1832" s="67"/>
    </row>
    <row r="1833" spans="1:5" ht="14.25">
      <c r="A1833" s="67"/>
      <c r="B1833" s="67"/>
      <c r="C1833" s="67"/>
      <c r="D1833" s="67"/>
      <c r="E1833" s="67"/>
    </row>
    <row r="1834" spans="1:5" ht="14.25">
      <c r="A1834" s="67"/>
      <c r="B1834" s="67"/>
      <c r="C1834" s="67"/>
      <c r="D1834" s="67"/>
      <c r="E1834" s="67"/>
    </row>
    <row r="1835" spans="1:5" ht="14.25">
      <c r="A1835" s="67"/>
      <c r="B1835" s="67"/>
      <c r="C1835" s="67"/>
      <c r="D1835" s="67"/>
      <c r="E1835" s="67"/>
    </row>
    <row r="1836" spans="1:5" ht="14.25">
      <c r="A1836" s="67"/>
      <c r="B1836" s="67"/>
      <c r="C1836" s="67"/>
      <c r="D1836" s="67"/>
      <c r="E1836" s="67"/>
    </row>
    <row r="1837" spans="1:5" ht="14.25">
      <c r="A1837" s="67"/>
      <c r="B1837" s="67"/>
      <c r="C1837" s="67"/>
      <c r="D1837" s="67"/>
      <c r="E1837" s="67"/>
    </row>
    <row r="1838" spans="1:5" s="2" customFormat="1" ht="12.75">
      <c r="A1838" s="67"/>
      <c r="B1838" s="67"/>
      <c r="C1838" s="67"/>
      <c r="D1838" s="67"/>
      <c r="E1838" s="67"/>
    </row>
    <row r="1839" spans="1:5" s="2" customFormat="1" ht="12.75">
      <c r="A1839" s="67"/>
      <c r="B1839" s="67"/>
      <c r="C1839" s="67"/>
      <c r="D1839" s="67"/>
      <c r="E1839" s="67"/>
    </row>
    <row r="1840" spans="1:5" ht="14.25">
      <c r="A1840" s="67"/>
      <c r="B1840" s="67"/>
      <c r="C1840" s="67"/>
      <c r="D1840" s="67"/>
      <c r="E1840" s="67"/>
    </row>
    <row r="1841" spans="1:5" s="2" customFormat="1" ht="12.75">
      <c r="A1841" s="67"/>
      <c r="B1841" s="67"/>
      <c r="C1841" s="67"/>
      <c r="D1841" s="67"/>
      <c r="E1841" s="67"/>
    </row>
    <row r="1842" spans="1:5" s="2" customFormat="1" ht="12.75" customHeight="1">
      <c r="A1842" s="67"/>
      <c r="B1842" s="67"/>
      <c r="C1842" s="67"/>
      <c r="D1842" s="67"/>
      <c r="E1842" s="67"/>
    </row>
    <row r="1843" spans="1:5" ht="14.25">
      <c r="A1843" s="67"/>
      <c r="B1843" s="67"/>
      <c r="C1843" s="67"/>
      <c r="D1843" s="67"/>
      <c r="E1843" s="67"/>
    </row>
    <row r="1844" spans="1:5" ht="15" customHeight="1">
      <c r="A1844" s="67"/>
      <c r="B1844" s="67"/>
      <c r="C1844" s="67"/>
      <c r="D1844" s="67"/>
      <c r="E1844" s="67"/>
    </row>
    <row r="1845" spans="1:5" ht="14.25">
      <c r="A1845" s="67"/>
      <c r="B1845" s="67"/>
      <c r="C1845" s="67"/>
      <c r="D1845" s="67"/>
      <c r="E1845" s="67"/>
    </row>
    <row r="1846" spans="1:5" ht="14.25">
      <c r="A1846" s="67"/>
      <c r="B1846" s="67"/>
      <c r="C1846" s="67"/>
      <c r="D1846" s="67"/>
      <c r="E1846" s="67"/>
    </row>
    <row r="1847" spans="1:5" ht="14.25">
      <c r="A1847" s="67"/>
      <c r="B1847" s="67"/>
      <c r="C1847" s="67"/>
      <c r="D1847" s="67"/>
      <c r="E1847" s="67"/>
    </row>
    <row r="1848" spans="1:5" ht="14.25">
      <c r="A1848" s="67"/>
      <c r="B1848" s="67"/>
      <c r="C1848" s="67"/>
      <c r="D1848" s="67"/>
      <c r="E1848" s="67"/>
    </row>
    <row r="1849" spans="1:5" ht="14.25">
      <c r="A1849" s="67"/>
      <c r="B1849" s="67"/>
      <c r="C1849" s="67"/>
      <c r="D1849" s="67"/>
      <c r="E1849" s="67"/>
    </row>
    <row r="1850" spans="1:5" ht="14.25">
      <c r="A1850" s="67"/>
      <c r="B1850" s="67"/>
      <c r="C1850" s="67"/>
      <c r="D1850" s="67"/>
      <c r="E1850" s="67"/>
    </row>
    <row r="1851" spans="1:5" ht="14.25">
      <c r="A1851" s="67"/>
      <c r="B1851" s="67"/>
      <c r="C1851" s="67"/>
      <c r="D1851" s="67"/>
      <c r="E1851" s="67"/>
    </row>
    <row r="1852" spans="1:5" ht="14.25">
      <c r="A1852" s="67"/>
      <c r="B1852" s="67"/>
      <c r="C1852" s="67"/>
      <c r="D1852" s="67"/>
      <c r="E1852" s="67"/>
    </row>
    <row r="1853" spans="1:5" ht="14.25">
      <c r="A1853" s="67"/>
      <c r="B1853" s="67"/>
      <c r="C1853" s="67"/>
      <c r="D1853" s="67"/>
      <c r="E1853" s="67"/>
    </row>
    <row r="1854" spans="1:5" ht="15" customHeight="1">
      <c r="A1854" s="67"/>
      <c r="B1854" s="67"/>
      <c r="C1854" s="67"/>
      <c r="D1854" s="67"/>
      <c r="E1854" s="67"/>
    </row>
    <row r="1855" spans="1:5" ht="15" customHeight="1">
      <c r="A1855" s="67"/>
      <c r="B1855" s="67"/>
      <c r="C1855" s="67"/>
      <c r="D1855" s="67"/>
      <c r="E1855" s="67"/>
    </row>
    <row r="1856" spans="1:5" ht="16.5" customHeight="1">
      <c r="A1856" s="67"/>
      <c r="B1856" s="67"/>
      <c r="C1856" s="67"/>
      <c r="D1856" s="67"/>
      <c r="E1856" s="67"/>
    </row>
    <row r="1857" spans="1:5" ht="14.25">
      <c r="A1857" s="67"/>
      <c r="B1857" s="67"/>
      <c r="C1857" s="67"/>
      <c r="D1857" s="67"/>
      <c r="E1857" s="67"/>
    </row>
    <row r="1858" spans="1:5" ht="14.25">
      <c r="A1858" s="67"/>
      <c r="B1858" s="67"/>
      <c r="C1858" s="67"/>
      <c r="D1858" s="67"/>
      <c r="E1858" s="67"/>
    </row>
    <row r="1859" spans="1:5" ht="14.25">
      <c r="A1859" s="67"/>
      <c r="B1859" s="67"/>
      <c r="C1859" s="67"/>
      <c r="D1859" s="67"/>
      <c r="E1859" s="67"/>
    </row>
    <row r="1860" spans="1:5" ht="14.25">
      <c r="A1860" s="67"/>
      <c r="B1860" s="67"/>
      <c r="C1860" s="67"/>
      <c r="D1860" s="67"/>
      <c r="E1860" s="67"/>
    </row>
    <row r="1861" spans="1:5" ht="14.25">
      <c r="A1861" s="67"/>
      <c r="B1861" s="67"/>
      <c r="C1861" s="67"/>
      <c r="D1861" s="67"/>
      <c r="E1861" s="67"/>
    </row>
    <row r="1862" spans="1:5" s="30" customFormat="1" ht="14.25">
      <c r="A1862" s="67"/>
      <c r="B1862" s="67"/>
      <c r="C1862" s="67"/>
      <c r="D1862" s="67"/>
      <c r="E1862" s="67"/>
    </row>
    <row r="1863" spans="1:5" ht="18.75" customHeight="1">
      <c r="A1863" s="67"/>
      <c r="B1863" s="67"/>
      <c r="C1863" s="67"/>
      <c r="D1863" s="67"/>
      <c r="E1863" s="67"/>
    </row>
    <row r="1864" spans="1:5" ht="30" customHeight="1">
      <c r="A1864" s="67"/>
      <c r="B1864" s="67"/>
      <c r="C1864" s="67"/>
      <c r="D1864" s="67"/>
      <c r="E1864" s="67"/>
    </row>
    <row r="1865" spans="1:5" ht="14.25">
      <c r="A1865" s="67"/>
      <c r="B1865" s="67"/>
      <c r="C1865" s="67"/>
      <c r="D1865" s="67"/>
      <c r="E1865" s="67"/>
    </row>
    <row r="1866" spans="1:5" ht="14.25">
      <c r="A1866" s="67"/>
      <c r="B1866" s="67"/>
      <c r="C1866" s="67"/>
      <c r="D1866" s="67"/>
      <c r="E1866" s="67"/>
    </row>
    <row r="1867" spans="1:5" ht="14.25">
      <c r="A1867" s="67"/>
      <c r="B1867" s="67"/>
      <c r="C1867" s="67"/>
      <c r="D1867" s="67"/>
      <c r="E1867" s="67"/>
    </row>
    <row r="1868" spans="1:5" ht="14.25">
      <c r="A1868" s="67"/>
      <c r="B1868" s="67"/>
      <c r="C1868" s="67"/>
      <c r="D1868" s="67"/>
      <c r="E1868" s="67"/>
    </row>
    <row r="1869" spans="1:5" ht="14.25">
      <c r="A1869" s="67"/>
      <c r="B1869" s="67"/>
      <c r="C1869" s="67"/>
      <c r="D1869" s="67"/>
      <c r="E1869" s="67"/>
    </row>
    <row r="1870" spans="1:5" ht="14.25">
      <c r="A1870" s="67"/>
      <c r="B1870" s="67"/>
      <c r="C1870" s="67"/>
      <c r="D1870" s="67"/>
      <c r="E1870" s="67"/>
    </row>
    <row r="1871" spans="1:5" ht="14.25">
      <c r="A1871" s="67"/>
      <c r="B1871" s="67"/>
      <c r="C1871" s="67"/>
      <c r="D1871" s="67"/>
      <c r="E1871" s="67"/>
    </row>
    <row r="1872" spans="1:5" ht="14.25">
      <c r="A1872" s="67"/>
      <c r="B1872" s="67"/>
      <c r="C1872" s="67"/>
      <c r="D1872" s="67"/>
      <c r="E1872" s="67"/>
    </row>
    <row r="1873" spans="1:5" s="2" customFormat="1" ht="12.75">
      <c r="A1873" s="67"/>
      <c r="B1873" s="67"/>
      <c r="C1873" s="67"/>
      <c r="D1873" s="67"/>
      <c r="E1873" s="67"/>
    </row>
    <row r="1874" spans="1:5" s="30" customFormat="1" ht="14.25">
      <c r="A1874" s="67"/>
      <c r="B1874" s="67"/>
      <c r="C1874" s="67"/>
      <c r="D1874" s="67"/>
      <c r="E1874" s="67"/>
    </row>
    <row r="1875" spans="1:5" ht="14.25">
      <c r="A1875" s="67"/>
      <c r="B1875" s="67"/>
      <c r="C1875" s="67"/>
      <c r="D1875" s="67"/>
      <c r="E1875" s="67"/>
    </row>
    <row r="1876" spans="1:5" ht="14.25">
      <c r="A1876" s="67"/>
      <c r="B1876" s="67"/>
      <c r="C1876" s="67"/>
      <c r="D1876" s="67"/>
      <c r="E1876" s="67"/>
    </row>
    <row r="1877" spans="1:5" s="2" customFormat="1" ht="12.75">
      <c r="A1877" s="67"/>
      <c r="B1877" s="67"/>
      <c r="C1877" s="67"/>
      <c r="D1877" s="67"/>
      <c r="E1877" s="67"/>
    </row>
    <row r="1878" spans="1:5" s="2" customFormat="1" ht="12.75" customHeight="1">
      <c r="A1878" s="67"/>
      <c r="B1878" s="67"/>
      <c r="C1878" s="67"/>
      <c r="D1878" s="67"/>
      <c r="E1878" s="67"/>
    </row>
    <row r="1879" spans="1:5" ht="14.25">
      <c r="A1879" s="67"/>
      <c r="B1879" s="67"/>
      <c r="C1879" s="67"/>
      <c r="D1879" s="67"/>
      <c r="E1879" s="67"/>
    </row>
    <row r="1880" spans="1:5" ht="14.25">
      <c r="A1880" s="67"/>
      <c r="B1880" s="67"/>
      <c r="C1880" s="67"/>
      <c r="D1880" s="67"/>
      <c r="E1880" s="67"/>
    </row>
    <row r="1881" spans="1:5" ht="14.25">
      <c r="A1881" s="67"/>
      <c r="B1881" s="67"/>
      <c r="C1881" s="67"/>
      <c r="D1881" s="67"/>
      <c r="E1881" s="67"/>
    </row>
    <row r="1882" spans="1:5" ht="14.25">
      <c r="A1882" s="67"/>
      <c r="B1882" s="67"/>
      <c r="C1882" s="67"/>
      <c r="D1882" s="67"/>
      <c r="E1882" s="67"/>
    </row>
    <row r="1883" spans="1:5" ht="14.25">
      <c r="A1883" s="67"/>
      <c r="B1883" s="67"/>
      <c r="C1883" s="67"/>
      <c r="D1883" s="67"/>
      <c r="E1883" s="67"/>
    </row>
    <row r="1884" spans="1:5" ht="14.25">
      <c r="A1884" s="67"/>
      <c r="B1884" s="67"/>
      <c r="C1884" s="67"/>
      <c r="D1884" s="67"/>
      <c r="E1884" s="67"/>
    </row>
    <row r="1885" spans="1:5" ht="14.25">
      <c r="A1885" s="67"/>
      <c r="B1885" s="67"/>
      <c r="C1885" s="67"/>
      <c r="D1885" s="67"/>
      <c r="E1885" s="67"/>
    </row>
    <row r="1886" spans="1:5" ht="14.25">
      <c r="A1886" s="67"/>
      <c r="B1886" s="67"/>
      <c r="C1886" s="67"/>
      <c r="D1886" s="67"/>
      <c r="E1886" s="67"/>
    </row>
    <row r="1887" spans="1:5" ht="14.25">
      <c r="A1887" s="67"/>
      <c r="B1887" s="67"/>
      <c r="C1887" s="67"/>
      <c r="D1887" s="67"/>
      <c r="E1887" s="67"/>
    </row>
    <row r="1888" spans="1:5" ht="31.5" customHeight="1">
      <c r="A1888" s="67"/>
      <c r="B1888" s="67"/>
      <c r="C1888" s="67"/>
      <c r="D1888" s="67"/>
      <c r="E1888" s="67"/>
    </row>
    <row r="1889" spans="1:5" ht="14.25">
      <c r="A1889" s="67"/>
      <c r="B1889" s="67"/>
      <c r="C1889" s="67"/>
      <c r="D1889" s="67"/>
      <c r="E1889" s="67"/>
    </row>
    <row r="1890" spans="1:5" ht="14.25">
      <c r="A1890" s="67"/>
      <c r="B1890" s="67"/>
      <c r="C1890" s="67"/>
      <c r="D1890" s="67"/>
      <c r="E1890" s="67"/>
    </row>
    <row r="1891" spans="1:5" ht="14.25">
      <c r="A1891" s="67"/>
      <c r="B1891" s="67"/>
      <c r="C1891" s="67"/>
      <c r="D1891" s="67"/>
      <c r="E1891" s="67"/>
    </row>
    <row r="1892" spans="1:5" ht="14.25">
      <c r="A1892" s="67"/>
      <c r="B1892" s="67"/>
      <c r="C1892" s="67"/>
      <c r="D1892" s="67"/>
      <c r="E1892" s="67"/>
    </row>
    <row r="1893" spans="1:5" ht="14.25">
      <c r="A1893" s="67"/>
      <c r="B1893" s="67"/>
      <c r="C1893" s="67"/>
      <c r="D1893" s="67"/>
      <c r="E1893" s="67"/>
    </row>
    <row r="1894" spans="1:5" ht="14.25">
      <c r="A1894" s="67"/>
      <c r="B1894" s="67"/>
      <c r="C1894" s="67"/>
      <c r="D1894" s="67"/>
      <c r="E1894" s="67"/>
    </row>
    <row r="1895" spans="1:5" ht="14.25">
      <c r="A1895" s="67"/>
      <c r="B1895" s="67"/>
      <c r="C1895" s="67"/>
      <c r="D1895" s="67"/>
      <c r="E1895" s="67"/>
    </row>
    <row r="1896" spans="1:5" ht="14.25">
      <c r="A1896" s="67"/>
      <c r="B1896" s="67"/>
      <c r="C1896" s="67"/>
      <c r="D1896" s="67"/>
      <c r="E1896" s="67"/>
    </row>
    <row r="1897" spans="1:5" ht="14.25">
      <c r="A1897" s="67"/>
      <c r="B1897" s="67"/>
      <c r="C1897" s="67"/>
      <c r="D1897" s="67"/>
      <c r="E1897" s="67"/>
    </row>
    <row r="1898" spans="1:5" ht="14.25">
      <c r="A1898" s="67"/>
      <c r="B1898" s="67"/>
      <c r="C1898" s="67"/>
      <c r="D1898" s="67"/>
      <c r="E1898" s="67"/>
    </row>
    <row r="1899" spans="1:5" ht="14.25">
      <c r="A1899" s="67"/>
      <c r="B1899" s="67"/>
      <c r="C1899" s="67"/>
      <c r="D1899" s="67"/>
      <c r="E1899" s="67"/>
    </row>
    <row r="1900" spans="1:5" ht="14.25">
      <c r="A1900" s="67"/>
      <c r="B1900" s="67"/>
      <c r="C1900" s="67"/>
      <c r="D1900" s="67"/>
      <c r="E1900" s="67"/>
    </row>
    <row r="1901" spans="1:5" ht="14.25">
      <c r="A1901" s="67"/>
      <c r="B1901" s="67"/>
      <c r="C1901" s="67"/>
      <c r="D1901" s="67"/>
      <c r="E1901" s="67"/>
    </row>
    <row r="1902" spans="1:5" ht="14.25">
      <c r="A1902" s="67"/>
      <c r="B1902" s="67"/>
      <c r="C1902" s="67"/>
      <c r="D1902" s="67"/>
      <c r="E1902" s="67"/>
    </row>
    <row r="1903" spans="1:5" ht="14.25">
      <c r="A1903" s="67"/>
      <c r="B1903" s="67"/>
      <c r="C1903" s="67"/>
      <c r="D1903" s="67"/>
      <c r="E1903" s="67"/>
    </row>
    <row r="1904" spans="1:5" ht="14.25">
      <c r="A1904" s="67"/>
      <c r="B1904" s="67"/>
      <c r="C1904" s="67"/>
      <c r="D1904" s="67"/>
      <c r="E1904" s="67"/>
    </row>
    <row r="1905" spans="1:5" ht="14.25">
      <c r="A1905" s="67"/>
      <c r="B1905" s="67"/>
      <c r="C1905" s="67"/>
      <c r="D1905" s="67"/>
      <c r="E1905" s="67"/>
    </row>
    <row r="1906" spans="1:5" ht="14.25">
      <c r="A1906" s="67"/>
      <c r="B1906" s="67"/>
      <c r="C1906" s="67"/>
      <c r="D1906" s="67"/>
      <c r="E1906" s="67"/>
    </row>
    <row r="1907" spans="1:5" ht="15" customHeight="1">
      <c r="A1907" s="67"/>
      <c r="B1907" s="67"/>
      <c r="C1907" s="67"/>
      <c r="D1907" s="67"/>
      <c r="E1907" s="67"/>
    </row>
    <row r="1908" spans="1:5" ht="14.25">
      <c r="A1908" s="67"/>
      <c r="B1908" s="67"/>
      <c r="C1908" s="67"/>
      <c r="D1908" s="67"/>
      <c r="E1908" s="67"/>
    </row>
    <row r="1909" spans="1:5" ht="14.25">
      <c r="A1909" s="67"/>
      <c r="B1909" s="67"/>
      <c r="C1909" s="67"/>
      <c r="D1909" s="67"/>
      <c r="E1909" s="67"/>
    </row>
    <row r="1910" spans="1:5" ht="14.25">
      <c r="A1910" s="67"/>
      <c r="B1910" s="67"/>
      <c r="C1910" s="67"/>
      <c r="D1910" s="67"/>
      <c r="E1910" s="67"/>
    </row>
    <row r="1911" spans="1:5" ht="14.25">
      <c r="A1911" s="67"/>
      <c r="B1911" s="67"/>
      <c r="C1911" s="67"/>
      <c r="D1911" s="67"/>
      <c r="E1911" s="67"/>
    </row>
    <row r="1912" spans="1:5" ht="14.25">
      <c r="A1912" s="67"/>
      <c r="B1912" s="67"/>
      <c r="C1912" s="67"/>
      <c r="D1912" s="67"/>
      <c r="E1912" s="67"/>
    </row>
    <row r="1913" spans="1:5" ht="14.25">
      <c r="A1913" s="67"/>
      <c r="B1913" s="67"/>
      <c r="C1913" s="67"/>
      <c r="D1913" s="67"/>
      <c r="E1913" s="67"/>
    </row>
    <row r="1914" spans="1:5" ht="15" customHeight="1">
      <c r="A1914" s="67"/>
      <c r="B1914" s="67"/>
      <c r="C1914" s="67"/>
      <c r="D1914" s="67"/>
      <c r="E1914" s="67"/>
    </row>
    <row r="1915" spans="1:5" ht="14.25">
      <c r="A1915" s="67"/>
      <c r="B1915" s="67"/>
      <c r="C1915" s="67"/>
      <c r="D1915" s="67"/>
      <c r="E1915" s="67"/>
    </row>
    <row r="1916" spans="1:5" ht="14.25">
      <c r="A1916" s="67"/>
      <c r="B1916" s="67"/>
      <c r="C1916" s="67"/>
      <c r="D1916" s="67"/>
      <c r="E1916" s="67"/>
    </row>
    <row r="1917" spans="1:5" ht="15" customHeight="1">
      <c r="A1917" s="67"/>
      <c r="B1917" s="67"/>
      <c r="C1917" s="67"/>
      <c r="D1917" s="67"/>
      <c r="E1917" s="67"/>
    </row>
    <row r="1918" spans="1:5" ht="15" customHeight="1">
      <c r="A1918" s="67"/>
      <c r="B1918" s="67"/>
      <c r="C1918" s="67"/>
      <c r="D1918" s="67"/>
      <c r="E1918" s="67"/>
    </row>
    <row r="1919" spans="1:5" ht="14.25">
      <c r="A1919" s="67"/>
      <c r="B1919" s="67"/>
      <c r="C1919" s="67"/>
      <c r="D1919" s="67"/>
      <c r="E1919" s="67"/>
    </row>
    <row r="1920" spans="1:5" ht="16.5" customHeight="1">
      <c r="A1920" s="67"/>
      <c r="B1920" s="67"/>
      <c r="C1920" s="67"/>
      <c r="D1920" s="67"/>
      <c r="E1920" s="67"/>
    </row>
    <row r="1921" spans="1:5" ht="14.25">
      <c r="A1921" s="67"/>
      <c r="B1921" s="67"/>
      <c r="C1921" s="67"/>
      <c r="D1921" s="67"/>
      <c r="E1921" s="67"/>
    </row>
    <row r="1922" spans="1:5" ht="14.25">
      <c r="A1922" s="67"/>
      <c r="B1922" s="67"/>
      <c r="C1922" s="67"/>
      <c r="D1922" s="67"/>
      <c r="E1922" s="67"/>
    </row>
    <row r="1923" spans="1:5" ht="14.25">
      <c r="A1923" s="67"/>
      <c r="B1923" s="67"/>
      <c r="C1923" s="67"/>
      <c r="D1923" s="67"/>
      <c r="E1923" s="67"/>
    </row>
    <row r="1924" spans="1:5" ht="14.25">
      <c r="A1924" s="67"/>
      <c r="B1924" s="67"/>
      <c r="C1924" s="67"/>
      <c r="D1924" s="67"/>
      <c r="E1924" s="67"/>
    </row>
    <row r="1925" spans="1:5" ht="14.25">
      <c r="A1925" s="67"/>
      <c r="B1925" s="67"/>
      <c r="C1925" s="67"/>
      <c r="D1925" s="67"/>
      <c r="E1925" s="67"/>
    </row>
    <row r="1926" spans="1:5" s="30" customFormat="1" ht="14.25">
      <c r="A1926" s="67"/>
      <c r="B1926" s="67"/>
      <c r="C1926" s="67"/>
      <c r="D1926" s="67"/>
      <c r="E1926" s="67"/>
    </row>
    <row r="1927" spans="1:5" ht="14.25">
      <c r="A1927" s="67"/>
      <c r="B1927" s="67"/>
      <c r="C1927" s="67"/>
      <c r="D1927" s="67"/>
      <c r="E1927" s="67"/>
    </row>
    <row r="1928" spans="1:5" ht="14.25">
      <c r="A1928" s="67"/>
      <c r="B1928" s="67"/>
      <c r="C1928" s="67"/>
      <c r="D1928" s="67"/>
      <c r="E1928" s="67"/>
    </row>
    <row r="1929" spans="1:5" s="30" customFormat="1" ht="14.25">
      <c r="A1929" s="67"/>
      <c r="B1929" s="67"/>
      <c r="C1929" s="67"/>
      <c r="D1929" s="67"/>
      <c r="E1929" s="67"/>
    </row>
    <row r="1930" spans="1:5" ht="14.25">
      <c r="A1930" s="67"/>
      <c r="B1930" s="67"/>
      <c r="C1930" s="67"/>
      <c r="D1930" s="67"/>
      <c r="E1930" s="67"/>
    </row>
    <row r="1931" spans="1:5" ht="14.25">
      <c r="A1931" s="67"/>
      <c r="B1931" s="67"/>
      <c r="C1931" s="67"/>
      <c r="D1931" s="67"/>
      <c r="E1931" s="67"/>
    </row>
    <row r="1932" spans="1:5" ht="14.25">
      <c r="A1932" s="67"/>
      <c r="B1932" s="67"/>
      <c r="C1932" s="67"/>
      <c r="D1932" s="67"/>
      <c r="E1932" s="67"/>
    </row>
    <row r="1933" spans="1:5" ht="14.25">
      <c r="A1933" s="67"/>
      <c r="B1933" s="67"/>
      <c r="C1933" s="67"/>
      <c r="D1933" s="67"/>
      <c r="E1933" s="67"/>
    </row>
    <row r="1934" spans="1:5" ht="14.25">
      <c r="A1934" s="67"/>
      <c r="B1934" s="67"/>
      <c r="C1934" s="67"/>
      <c r="D1934" s="67"/>
      <c r="E1934" s="67"/>
    </row>
    <row r="1935" spans="1:5" ht="14.25">
      <c r="A1935" s="67"/>
      <c r="B1935" s="67"/>
      <c r="C1935" s="67"/>
      <c r="D1935" s="67"/>
      <c r="E1935" s="67"/>
    </row>
    <row r="1936" spans="1:5" ht="14.25">
      <c r="A1936" s="67"/>
      <c r="B1936" s="67"/>
      <c r="C1936" s="67"/>
      <c r="D1936" s="67"/>
      <c r="E1936" s="67"/>
    </row>
    <row r="1937" spans="1:5" ht="14.25">
      <c r="A1937" s="67"/>
      <c r="B1937" s="67"/>
      <c r="C1937" s="67"/>
      <c r="D1937" s="67"/>
      <c r="E1937" s="67"/>
    </row>
    <row r="1938" spans="1:5" ht="14.25">
      <c r="A1938" s="67"/>
      <c r="B1938" s="67"/>
      <c r="C1938" s="67"/>
      <c r="D1938" s="67"/>
      <c r="E1938" s="67"/>
    </row>
    <row r="1939" spans="1:5" ht="14.25">
      <c r="A1939" s="67"/>
      <c r="B1939" s="67"/>
      <c r="C1939" s="67"/>
      <c r="D1939" s="67"/>
      <c r="E1939" s="67"/>
    </row>
    <row r="1940" spans="1:5" ht="14.25">
      <c r="A1940" s="67"/>
      <c r="B1940" s="67"/>
      <c r="C1940" s="67"/>
      <c r="D1940" s="67"/>
      <c r="E1940" s="67"/>
    </row>
    <row r="1941" spans="1:5" ht="14.25">
      <c r="A1941" s="67"/>
      <c r="B1941" s="67"/>
      <c r="C1941" s="67"/>
      <c r="D1941" s="67"/>
      <c r="E1941" s="67"/>
    </row>
    <row r="1942" spans="1:5" ht="14.25">
      <c r="A1942" s="67"/>
      <c r="B1942" s="67"/>
      <c r="C1942" s="67"/>
      <c r="D1942" s="67"/>
      <c r="E1942" s="67"/>
    </row>
    <row r="1943" spans="1:5" ht="14.25">
      <c r="A1943" s="67"/>
      <c r="B1943" s="67"/>
      <c r="C1943" s="67"/>
      <c r="D1943" s="67"/>
      <c r="E1943" s="67"/>
    </row>
    <row r="1944" spans="1:5" ht="14.25">
      <c r="A1944" s="67"/>
      <c r="B1944" s="67"/>
      <c r="C1944" s="67"/>
      <c r="D1944" s="67"/>
      <c r="E1944" s="67"/>
    </row>
    <row r="1945" spans="1:5" ht="14.25">
      <c r="A1945" s="67"/>
      <c r="B1945" s="67"/>
      <c r="C1945" s="67"/>
      <c r="D1945" s="67"/>
      <c r="E1945" s="67"/>
    </row>
    <row r="1946" spans="1:5" ht="14.25">
      <c r="A1946" s="67"/>
      <c r="B1946" s="67"/>
      <c r="C1946" s="67"/>
      <c r="D1946" s="67"/>
      <c r="E1946" s="67"/>
    </row>
    <row r="1947" spans="1:5" ht="17.25" customHeight="1">
      <c r="A1947" s="67"/>
      <c r="B1947" s="67"/>
      <c r="C1947" s="67"/>
      <c r="D1947" s="67"/>
      <c r="E1947" s="67"/>
    </row>
    <row r="1948" spans="1:5" ht="30" customHeight="1">
      <c r="A1948" s="67"/>
      <c r="B1948" s="67"/>
      <c r="C1948" s="67"/>
      <c r="D1948" s="67"/>
      <c r="E1948" s="67"/>
    </row>
    <row r="1949" spans="1:5" ht="14.25">
      <c r="A1949" s="67"/>
      <c r="B1949" s="67"/>
      <c r="C1949" s="67"/>
      <c r="D1949" s="67"/>
      <c r="E1949" s="67"/>
    </row>
    <row r="1950" spans="1:5" ht="14.25">
      <c r="A1950" s="67"/>
      <c r="B1950" s="67"/>
      <c r="C1950" s="67"/>
      <c r="D1950" s="67"/>
      <c r="E1950" s="67"/>
    </row>
    <row r="1951" spans="1:5" ht="14.25">
      <c r="A1951" s="67"/>
      <c r="B1951" s="67"/>
      <c r="C1951" s="67"/>
      <c r="D1951" s="67"/>
      <c r="E1951" s="67"/>
    </row>
    <row r="1952" spans="1:5" ht="14.25">
      <c r="A1952" s="67"/>
      <c r="B1952" s="67"/>
      <c r="C1952" s="67"/>
      <c r="D1952" s="67"/>
      <c r="E1952" s="67"/>
    </row>
    <row r="1953" spans="1:5" ht="14.25">
      <c r="A1953" s="67"/>
      <c r="B1953" s="67"/>
      <c r="C1953" s="67"/>
      <c r="D1953" s="67"/>
      <c r="E1953" s="67"/>
    </row>
    <row r="1954" spans="1:5" ht="14.25">
      <c r="A1954" s="67"/>
      <c r="B1954" s="67"/>
      <c r="C1954" s="67"/>
      <c r="D1954" s="67"/>
      <c r="E1954" s="67"/>
    </row>
    <row r="1955" spans="1:5" ht="30" customHeight="1">
      <c r="A1955" s="67"/>
      <c r="B1955" s="67"/>
      <c r="C1955" s="67"/>
      <c r="D1955" s="67"/>
      <c r="E1955" s="67"/>
    </row>
    <row r="1956" spans="1:5" ht="14.25">
      <c r="A1956" s="67"/>
      <c r="B1956" s="67"/>
      <c r="C1956" s="67"/>
      <c r="D1956" s="67"/>
      <c r="E1956" s="67"/>
    </row>
    <row r="1957" spans="1:5" ht="14.25">
      <c r="A1957" s="67"/>
      <c r="B1957" s="67"/>
      <c r="C1957" s="67"/>
      <c r="D1957" s="67"/>
      <c r="E1957" s="67"/>
    </row>
    <row r="1958" spans="1:5" ht="14.25">
      <c r="A1958" s="67"/>
      <c r="B1958" s="67"/>
      <c r="C1958" s="67"/>
      <c r="D1958" s="67"/>
      <c r="E1958" s="67"/>
    </row>
    <row r="1959" spans="1:5" ht="14.25">
      <c r="A1959" s="67"/>
      <c r="B1959" s="67"/>
      <c r="C1959" s="67"/>
      <c r="D1959" s="67"/>
      <c r="E1959" s="67"/>
    </row>
    <row r="1960" spans="1:5" s="30" customFormat="1" ht="14.25">
      <c r="A1960" s="67"/>
      <c r="B1960" s="67"/>
      <c r="C1960" s="67"/>
      <c r="D1960" s="67"/>
      <c r="E1960" s="67"/>
    </row>
    <row r="1961" spans="1:5" ht="14.25">
      <c r="A1961" s="67"/>
      <c r="B1961" s="67"/>
      <c r="C1961" s="67"/>
      <c r="D1961" s="67"/>
      <c r="E1961" s="67"/>
    </row>
    <row r="1962" spans="1:5" ht="14.25">
      <c r="A1962" s="67"/>
      <c r="B1962" s="67"/>
      <c r="C1962" s="67"/>
      <c r="D1962" s="67"/>
      <c r="E1962" s="67"/>
    </row>
    <row r="1963" spans="1:5" ht="14.25">
      <c r="A1963" s="67"/>
      <c r="B1963" s="67"/>
      <c r="C1963" s="67"/>
      <c r="D1963" s="67"/>
      <c r="E1963" s="67"/>
    </row>
    <row r="1964" spans="1:5" ht="14.25">
      <c r="A1964" s="67"/>
      <c r="B1964" s="67"/>
      <c r="C1964" s="67"/>
      <c r="D1964" s="67"/>
      <c r="E1964" s="67"/>
    </row>
    <row r="1965" spans="1:5" ht="14.25">
      <c r="A1965" s="67"/>
      <c r="B1965" s="67"/>
      <c r="C1965" s="67"/>
      <c r="D1965" s="67"/>
      <c r="E1965" s="67"/>
    </row>
    <row r="1966" spans="1:5" ht="14.25">
      <c r="A1966" s="67"/>
      <c r="B1966" s="67"/>
      <c r="C1966" s="67"/>
      <c r="D1966" s="67"/>
      <c r="E1966" s="67"/>
    </row>
    <row r="1967" spans="1:5" ht="14.25">
      <c r="A1967" s="67"/>
      <c r="B1967" s="67"/>
      <c r="C1967" s="67"/>
      <c r="D1967" s="67"/>
      <c r="E1967" s="67"/>
    </row>
    <row r="1968" spans="1:5" ht="14.25">
      <c r="A1968" s="67"/>
      <c r="B1968" s="67"/>
      <c r="C1968" s="67"/>
      <c r="D1968" s="67"/>
      <c r="E1968" s="67"/>
    </row>
    <row r="1969" spans="1:5" ht="14.25">
      <c r="A1969" s="67"/>
      <c r="B1969" s="67"/>
      <c r="C1969" s="67"/>
      <c r="D1969" s="67"/>
      <c r="E1969" s="67"/>
    </row>
    <row r="1970" spans="1:5" ht="14.25">
      <c r="A1970" s="67"/>
      <c r="B1970" s="67"/>
      <c r="C1970" s="67"/>
      <c r="D1970" s="67"/>
      <c r="E1970" s="67"/>
    </row>
    <row r="1971" spans="1:5" ht="14.25">
      <c r="A1971" s="67"/>
      <c r="B1971" s="67"/>
      <c r="C1971" s="67"/>
      <c r="D1971" s="67"/>
      <c r="E1971" s="67"/>
    </row>
    <row r="1972" spans="1:5" ht="15" customHeight="1">
      <c r="A1972" s="67"/>
      <c r="B1972" s="67"/>
      <c r="C1972" s="67"/>
      <c r="D1972" s="67"/>
      <c r="E1972" s="67"/>
    </row>
    <row r="1973" spans="1:5" ht="15" customHeight="1">
      <c r="A1973" s="67"/>
      <c r="B1973" s="67"/>
      <c r="C1973" s="67"/>
      <c r="D1973" s="67"/>
      <c r="E1973" s="67"/>
    </row>
    <row r="1974" spans="1:5" ht="14.25">
      <c r="A1974" s="67"/>
      <c r="B1974" s="67"/>
      <c r="C1974" s="67"/>
      <c r="D1974" s="67"/>
      <c r="E1974" s="67"/>
    </row>
    <row r="1975" spans="1:5" ht="15" customHeight="1">
      <c r="A1975" s="67"/>
      <c r="B1975" s="67"/>
      <c r="C1975" s="67"/>
      <c r="D1975" s="67"/>
      <c r="E1975" s="67"/>
    </row>
    <row r="1976" spans="1:5" ht="14.25">
      <c r="A1976" s="67"/>
      <c r="B1976" s="67"/>
      <c r="C1976" s="67"/>
      <c r="D1976" s="67"/>
      <c r="E1976" s="67"/>
    </row>
    <row r="1977" spans="1:5" ht="14.25">
      <c r="A1977" s="67"/>
      <c r="B1977" s="67"/>
      <c r="C1977" s="67"/>
      <c r="D1977" s="67"/>
      <c r="E1977" s="67"/>
    </row>
    <row r="1978" spans="1:5" ht="14.25">
      <c r="A1978" s="67"/>
      <c r="B1978" s="67"/>
      <c r="C1978" s="67"/>
      <c r="D1978" s="67"/>
      <c r="E1978" s="67"/>
    </row>
    <row r="1979" spans="1:5" ht="14.25">
      <c r="A1979" s="67"/>
      <c r="B1979" s="67"/>
      <c r="C1979" s="67"/>
      <c r="D1979" s="67"/>
      <c r="E1979" s="67"/>
    </row>
    <row r="1980" spans="1:5" ht="14.25">
      <c r="A1980" s="67"/>
      <c r="B1980" s="67"/>
      <c r="C1980" s="67"/>
      <c r="D1980" s="67"/>
      <c r="E1980" s="67"/>
    </row>
    <row r="1981" spans="1:5" ht="14.25">
      <c r="A1981" s="67"/>
      <c r="B1981" s="67"/>
      <c r="C1981" s="67"/>
      <c r="D1981" s="67"/>
      <c r="E1981" s="67"/>
    </row>
    <row r="1982" spans="1:5" ht="14.25">
      <c r="A1982" s="67"/>
      <c r="B1982" s="67"/>
      <c r="C1982" s="67"/>
      <c r="D1982" s="67"/>
      <c r="E1982" s="67"/>
    </row>
    <row r="1983" spans="1:5" ht="14.25">
      <c r="A1983" s="67"/>
      <c r="B1983" s="67"/>
      <c r="C1983" s="67"/>
      <c r="D1983" s="67"/>
      <c r="E1983" s="67"/>
    </row>
    <row r="1984" spans="1:5" ht="14.25">
      <c r="A1984" s="67"/>
      <c r="B1984" s="67"/>
      <c r="C1984" s="67"/>
      <c r="D1984" s="67"/>
      <c r="E1984" s="67"/>
    </row>
    <row r="1985" spans="1:5" s="2" customFormat="1" ht="12.75">
      <c r="A1985" s="67"/>
      <c r="B1985" s="67"/>
      <c r="C1985" s="67"/>
      <c r="D1985" s="67"/>
      <c r="E1985" s="67"/>
    </row>
    <row r="1986" spans="1:5" ht="14.25">
      <c r="A1986" s="67"/>
      <c r="B1986" s="67"/>
      <c r="C1986" s="67"/>
      <c r="D1986" s="67"/>
      <c r="E1986" s="67"/>
    </row>
    <row r="1987" spans="1:5" s="2" customFormat="1" ht="12.75">
      <c r="A1987" s="67"/>
      <c r="B1987" s="67"/>
      <c r="C1987" s="67"/>
      <c r="D1987" s="67"/>
      <c r="E1987" s="67"/>
    </row>
    <row r="1988" spans="1:5" ht="14.25">
      <c r="A1988" s="67"/>
      <c r="B1988" s="67"/>
      <c r="C1988" s="67"/>
      <c r="D1988" s="67"/>
      <c r="E1988" s="67"/>
    </row>
    <row r="1989" spans="1:5" s="30" customFormat="1" ht="14.25">
      <c r="A1989" s="67"/>
      <c r="B1989" s="67"/>
      <c r="C1989" s="67"/>
      <c r="D1989" s="67"/>
      <c r="E1989" s="67"/>
    </row>
    <row r="1990" spans="1:5" ht="14.25">
      <c r="A1990" s="67"/>
      <c r="B1990" s="67"/>
      <c r="C1990" s="67"/>
      <c r="D1990" s="67"/>
      <c r="E1990" s="67"/>
    </row>
    <row r="1991" spans="1:5" ht="14.25">
      <c r="A1991" s="67"/>
      <c r="B1991" s="67"/>
      <c r="C1991" s="67"/>
      <c r="D1991" s="67"/>
      <c r="E1991" s="67"/>
    </row>
    <row r="1992" spans="1:5" ht="14.25">
      <c r="A1992" s="67"/>
      <c r="B1992" s="67"/>
      <c r="C1992" s="67"/>
      <c r="D1992" s="67"/>
      <c r="E1992" s="67"/>
    </row>
    <row r="1993" spans="1:5" ht="14.25">
      <c r="A1993" s="67"/>
      <c r="B1993" s="67"/>
      <c r="C1993" s="67"/>
      <c r="D1993" s="67"/>
      <c r="E1993" s="67"/>
    </row>
    <row r="1994" spans="1:5" s="30" customFormat="1" ht="14.25">
      <c r="A1994" s="67"/>
      <c r="B1994" s="67"/>
      <c r="C1994" s="67"/>
      <c r="D1994" s="67"/>
      <c r="E1994" s="67"/>
    </row>
    <row r="1995" spans="1:5" ht="14.25">
      <c r="A1995" s="67"/>
      <c r="B1995" s="67"/>
      <c r="C1995" s="67"/>
      <c r="D1995" s="67"/>
      <c r="E1995" s="67"/>
    </row>
    <row r="1996" spans="1:5" ht="14.25">
      <c r="A1996" s="67"/>
      <c r="B1996" s="67"/>
      <c r="C1996" s="67"/>
      <c r="D1996" s="67"/>
      <c r="E1996" s="67"/>
    </row>
    <row r="1997" spans="1:5" ht="14.25">
      <c r="A1997" s="67"/>
      <c r="B1997" s="67"/>
      <c r="C1997" s="67"/>
      <c r="D1997" s="67"/>
      <c r="E1997" s="67"/>
    </row>
    <row r="1998" spans="1:5" ht="14.25">
      <c r="A1998" s="67"/>
      <c r="B1998" s="67"/>
      <c r="C1998" s="67"/>
      <c r="D1998" s="67"/>
      <c r="E1998" s="67"/>
    </row>
    <row r="1999" spans="1:5" ht="14.25">
      <c r="A1999" s="67"/>
      <c r="B1999" s="67"/>
      <c r="C1999" s="67"/>
      <c r="D1999" s="67"/>
      <c r="E1999" s="67"/>
    </row>
    <row r="2000" spans="1:5" ht="14.25">
      <c r="A2000" s="67"/>
      <c r="B2000" s="67"/>
      <c r="C2000" s="67"/>
      <c r="D2000" s="67"/>
      <c r="E2000" s="67"/>
    </row>
    <row r="2001" spans="1:5" ht="14.25">
      <c r="A2001" s="67"/>
      <c r="B2001" s="67"/>
      <c r="C2001" s="67"/>
      <c r="D2001" s="67"/>
      <c r="E2001" s="67"/>
    </row>
    <row r="2002" spans="1:5" ht="14.25">
      <c r="A2002" s="67"/>
      <c r="B2002" s="67"/>
      <c r="C2002" s="67"/>
      <c r="D2002" s="67"/>
      <c r="E2002" s="67"/>
    </row>
    <row r="2003" spans="1:5" ht="15" customHeight="1">
      <c r="A2003" s="67"/>
      <c r="B2003" s="67"/>
      <c r="C2003" s="67"/>
      <c r="D2003" s="67"/>
      <c r="E2003" s="67"/>
    </row>
    <row r="2004" spans="1:5" ht="14.25">
      <c r="A2004" s="67"/>
      <c r="B2004" s="67"/>
      <c r="C2004" s="67"/>
      <c r="D2004" s="67"/>
      <c r="E2004" s="67"/>
    </row>
    <row r="2005" spans="1:5" ht="15" customHeight="1">
      <c r="A2005" s="67"/>
      <c r="B2005" s="67"/>
      <c r="C2005" s="67"/>
      <c r="D2005" s="67"/>
      <c r="E2005" s="67"/>
    </row>
    <row r="2006" spans="1:5" ht="14.25">
      <c r="A2006" s="67"/>
      <c r="B2006" s="67"/>
      <c r="C2006" s="67"/>
      <c r="D2006" s="67"/>
      <c r="E2006" s="67"/>
    </row>
    <row r="2007" spans="1:5" ht="14.25">
      <c r="A2007" s="67"/>
      <c r="B2007" s="67"/>
      <c r="C2007" s="67"/>
      <c r="D2007" s="67"/>
      <c r="E2007" s="67"/>
    </row>
    <row r="2008" spans="1:5" ht="14.25">
      <c r="A2008" s="67"/>
      <c r="B2008" s="67"/>
      <c r="C2008" s="67"/>
      <c r="D2008" s="67"/>
      <c r="E2008" s="67"/>
    </row>
    <row r="2009" spans="1:5" s="30" customFormat="1" ht="14.25">
      <c r="A2009" s="67"/>
      <c r="B2009" s="67"/>
      <c r="C2009" s="67"/>
      <c r="D2009" s="67"/>
      <c r="E2009" s="67"/>
    </row>
    <row r="2010" spans="1:5" s="30" customFormat="1" ht="14.25">
      <c r="A2010" s="67"/>
      <c r="B2010" s="67"/>
      <c r="C2010" s="67"/>
      <c r="D2010" s="67"/>
      <c r="E2010" s="67"/>
    </row>
    <row r="2011" spans="1:5" s="30" customFormat="1" ht="14.25">
      <c r="A2011" s="67"/>
      <c r="B2011" s="67"/>
      <c r="C2011" s="67"/>
      <c r="D2011" s="67"/>
      <c r="E2011" s="67"/>
    </row>
    <row r="2012" spans="1:5" s="30" customFormat="1" ht="14.25">
      <c r="A2012" s="67"/>
      <c r="B2012" s="67"/>
      <c r="C2012" s="67"/>
      <c r="D2012" s="67"/>
      <c r="E2012" s="67"/>
    </row>
    <row r="2013" spans="1:5" s="30" customFormat="1" ht="14.25">
      <c r="A2013" s="67"/>
      <c r="B2013" s="67"/>
      <c r="C2013" s="67"/>
      <c r="D2013" s="67"/>
      <c r="E2013" s="67"/>
    </row>
    <row r="2014" spans="1:5" s="30" customFormat="1" ht="14.25">
      <c r="A2014" s="67"/>
      <c r="B2014" s="67"/>
      <c r="C2014" s="67"/>
      <c r="D2014" s="67"/>
      <c r="E2014" s="67"/>
    </row>
    <row r="2015" spans="1:5" s="30" customFormat="1" ht="14.25">
      <c r="A2015" s="67"/>
      <c r="B2015" s="67"/>
      <c r="C2015" s="67"/>
      <c r="D2015" s="67"/>
      <c r="E2015" s="67"/>
    </row>
    <row r="2016" spans="1:5" s="30" customFormat="1" ht="15" customHeight="1">
      <c r="A2016" s="67"/>
      <c r="B2016" s="67"/>
      <c r="C2016" s="67"/>
      <c r="D2016" s="67"/>
      <c r="E2016" s="67"/>
    </row>
    <row r="2017" spans="1:5" s="30" customFormat="1" ht="14.25">
      <c r="A2017" s="67"/>
      <c r="B2017" s="67"/>
      <c r="C2017" s="67"/>
      <c r="D2017" s="67"/>
      <c r="E2017" s="67"/>
    </row>
    <row r="2018" spans="1:5" ht="15" customHeight="1">
      <c r="A2018" s="67"/>
      <c r="B2018" s="67"/>
      <c r="C2018" s="67"/>
      <c r="D2018" s="67"/>
      <c r="E2018" s="67"/>
    </row>
    <row r="2019" spans="1:5" ht="15" customHeight="1">
      <c r="A2019" s="67"/>
      <c r="B2019" s="67"/>
      <c r="C2019" s="67"/>
      <c r="D2019" s="67"/>
      <c r="E2019" s="67"/>
    </row>
    <row r="2020" spans="1:5" ht="15" customHeight="1">
      <c r="A2020" s="67"/>
      <c r="B2020" s="67"/>
      <c r="C2020" s="67"/>
      <c r="D2020" s="67"/>
      <c r="E2020" s="67"/>
    </row>
    <row r="2021" spans="1:5" ht="14.25">
      <c r="A2021" s="67"/>
      <c r="B2021" s="67"/>
      <c r="C2021" s="67"/>
      <c r="D2021" s="67"/>
      <c r="E2021" s="67"/>
    </row>
    <row r="2022" spans="1:5" ht="14.25">
      <c r="A2022" s="67"/>
      <c r="B2022" s="67"/>
      <c r="C2022" s="67"/>
      <c r="D2022" s="67"/>
      <c r="E2022" s="67"/>
    </row>
    <row r="2023" spans="1:5" ht="14.25">
      <c r="A2023" s="67"/>
      <c r="B2023" s="67"/>
      <c r="C2023" s="67"/>
      <c r="D2023" s="67"/>
      <c r="E2023" s="67"/>
    </row>
    <row r="2024" spans="1:5" ht="14.25">
      <c r="A2024" s="67"/>
      <c r="B2024" s="67"/>
      <c r="C2024" s="67"/>
      <c r="D2024" s="67"/>
      <c r="E2024" s="67"/>
    </row>
    <row r="2025" spans="1:5" ht="14.25">
      <c r="A2025" s="67"/>
      <c r="B2025" s="67"/>
      <c r="C2025" s="67"/>
      <c r="D2025" s="67"/>
      <c r="E2025" s="67"/>
    </row>
    <row r="2026" spans="1:5" ht="14.25">
      <c r="A2026" s="67"/>
      <c r="B2026" s="67"/>
      <c r="C2026" s="67"/>
      <c r="D2026" s="67"/>
      <c r="E2026" s="67"/>
    </row>
    <row r="2027" spans="1:5" ht="14.25">
      <c r="A2027" s="67"/>
      <c r="B2027" s="67"/>
      <c r="C2027" s="67"/>
      <c r="D2027" s="67"/>
      <c r="E2027" s="67"/>
    </row>
    <row r="2028" spans="1:5" ht="14.25">
      <c r="A2028" s="67"/>
      <c r="B2028" s="67"/>
      <c r="C2028" s="67"/>
      <c r="D2028" s="67"/>
      <c r="E2028" s="67"/>
    </row>
    <row r="2029" spans="1:5" ht="14.25">
      <c r="A2029" s="67"/>
      <c r="B2029" s="67"/>
      <c r="C2029" s="67"/>
      <c r="D2029" s="67"/>
      <c r="E2029" s="67"/>
    </row>
    <row r="2030" spans="1:5" ht="14.25">
      <c r="A2030" s="67"/>
      <c r="B2030" s="67"/>
      <c r="C2030" s="67"/>
      <c r="D2030" s="67"/>
      <c r="E2030" s="67"/>
    </row>
    <row r="2031" spans="1:5" ht="15" customHeight="1">
      <c r="A2031" s="67"/>
      <c r="B2031" s="67"/>
      <c r="C2031" s="67"/>
      <c r="D2031" s="67"/>
      <c r="E2031" s="67"/>
    </row>
    <row r="2032" spans="1:5" ht="30" customHeight="1">
      <c r="A2032" s="67"/>
      <c r="B2032" s="67"/>
      <c r="C2032" s="67"/>
      <c r="D2032" s="67"/>
      <c r="E2032" s="67"/>
    </row>
    <row r="2033" spans="1:5" ht="30" customHeight="1">
      <c r="A2033" s="67"/>
      <c r="B2033" s="67"/>
      <c r="C2033" s="67"/>
      <c r="D2033" s="67"/>
      <c r="E2033" s="67"/>
    </row>
    <row r="2034" spans="1:5" ht="14.25">
      <c r="A2034" s="67"/>
      <c r="B2034" s="67"/>
      <c r="C2034" s="67"/>
      <c r="D2034" s="67"/>
      <c r="E2034" s="67"/>
    </row>
    <row r="2035" spans="1:5" s="30" customFormat="1" ht="14.25">
      <c r="A2035" s="67"/>
      <c r="B2035" s="67"/>
      <c r="C2035" s="67"/>
      <c r="D2035" s="67"/>
      <c r="E2035" s="67"/>
    </row>
    <row r="2036" spans="1:5" ht="14.25">
      <c r="A2036" s="67"/>
      <c r="B2036" s="67"/>
      <c r="C2036" s="67"/>
      <c r="D2036" s="67"/>
      <c r="E2036" s="67"/>
    </row>
    <row r="2037" spans="1:5" ht="14.25">
      <c r="A2037" s="67"/>
      <c r="B2037" s="67"/>
      <c r="C2037" s="67"/>
      <c r="D2037" s="67"/>
      <c r="E2037" s="67"/>
    </row>
    <row r="2038" spans="1:5" ht="14.25">
      <c r="A2038" s="67"/>
      <c r="B2038" s="67"/>
      <c r="C2038" s="67"/>
      <c r="D2038" s="67"/>
      <c r="E2038" s="67"/>
    </row>
    <row r="2039" spans="1:5" ht="14.25">
      <c r="A2039" s="67"/>
      <c r="B2039" s="67"/>
      <c r="C2039" s="67"/>
      <c r="D2039" s="67"/>
      <c r="E2039" s="67"/>
    </row>
    <row r="2040" spans="1:5" ht="14.25">
      <c r="A2040" s="67"/>
      <c r="B2040" s="67"/>
      <c r="C2040" s="67"/>
      <c r="D2040" s="67"/>
      <c r="E2040" s="67"/>
    </row>
    <row r="2041" spans="1:5" s="2" customFormat="1" ht="12.75">
      <c r="A2041" s="67"/>
      <c r="B2041" s="67"/>
      <c r="C2041" s="67"/>
      <c r="D2041" s="67"/>
      <c r="E2041" s="67"/>
    </row>
    <row r="2042" spans="1:5" s="2" customFormat="1" ht="12.75">
      <c r="A2042" s="67"/>
      <c r="B2042" s="67"/>
      <c r="C2042" s="67"/>
      <c r="D2042" s="67"/>
      <c r="E2042" s="67"/>
    </row>
    <row r="2043" spans="1:5" ht="14.25">
      <c r="A2043" s="67"/>
      <c r="B2043" s="67"/>
      <c r="C2043" s="67"/>
      <c r="D2043" s="67"/>
      <c r="E2043" s="67"/>
    </row>
    <row r="2044" spans="1:5" ht="14.25">
      <c r="A2044" s="67"/>
      <c r="B2044" s="67"/>
      <c r="C2044" s="67"/>
      <c r="D2044" s="67"/>
      <c r="E2044" s="67"/>
    </row>
    <row r="2045" spans="1:5" ht="14.25">
      <c r="A2045" s="67"/>
      <c r="B2045" s="67"/>
      <c r="C2045" s="67"/>
      <c r="D2045" s="67"/>
      <c r="E2045" s="67"/>
    </row>
    <row r="2046" spans="1:5" ht="14.25">
      <c r="A2046" s="67"/>
      <c r="B2046" s="67"/>
      <c r="C2046" s="67"/>
      <c r="D2046" s="67"/>
      <c r="E2046" s="67"/>
    </row>
    <row r="2047" spans="1:5" ht="14.25">
      <c r="A2047" s="67"/>
      <c r="B2047" s="67"/>
      <c r="C2047" s="67"/>
      <c r="D2047" s="67"/>
      <c r="E2047" s="67"/>
    </row>
    <row r="2048" spans="1:5" ht="14.25">
      <c r="A2048" s="67"/>
      <c r="B2048" s="67"/>
      <c r="C2048" s="67"/>
      <c r="D2048" s="67"/>
      <c r="E2048" s="67"/>
    </row>
    <row r="2049" spans="1:5" ht="15" customHeight="1">
      <c r="A2049" s="67"/>
      <c r="B2049" s="67"/>
      <c r="C2049" s="67"/>
      <c r="D2049" s="67"/>
      <c r="E2049" s="67"/>
    </row>
    <row r="2050" spans="1:5" ht="14.25">
      <c r="A2050" s="67"/>
      <c r="B2050" s="67"/>
      <c r="C2050" s="67"/>
      <c r="D2050" s="67"/>
      <c r="E2050" s="67"/>
    </row>
    <row r="2051" spans="1:5" ht="14.25">
      <c r="A2051" s="67"/>
      <c r="B2051" s="67"/>
      <c r="C2051" s="67"/>
      <c r="D2051" s="67"/>
      <c r="E2051" s="67"/>
    </row>
    <row r="2052" spans="1:5" ht="15" customHeight="1">
      <c r="A2052" s="67"/>
      <c r="B2052" s="67"/>
      <c r="C2052" s="67"/>
      <c r="D2052" s="67"/>
      <c r="E2052" s="67"/>
    </row>
    <row r="2053" spans="1:5" ht="15" customHeight="1">
      <c r="A2053" s="67"/>
      <c r="B2053" s="67"/>
      <c r="C2053" s="67"/>
      <c r="D2053" s="67"/>
      <c r="E2053" s="67"/>
    </row>
    <row r="2054" spans="1:5" ht="15" customHeight="1">
      <c r="A2054" s="67"/>
      <c r="B2054" s="67"/>
      <c r="C2054" s="67"/>
      <c r="D2054" s="67"/>
      <c r="E2054" s="67"/>
    </row>
    <row r="2055" spans="1:5" ht="15" customHeight="1">
      <c r="A2055" s="67"/>
      <c r="B2055" s="67"/>
      <c r="C2055" s="67"/>
      <c r="D2055" s="67"/>
      <c r="E2055" s="67"/>
    </row>
    <row r="2056" spans="1:5" ht="14.25">
      <c r="A2056" s="67"/>
      <c r="B2056" s="67"/>
      <c r="C2056" s="67"/>
      <c r="D2056" s="67"/>
      <c r="E2056" s="67"/>
    </row>
    <row r="2057" spans="1:5" ht="14.25">
      <c r="A2057" s="67"/>
      <c r="B2057" s="67"/>
      <c r="C2057" s="67"/>
      <c r="D2057" s="67"/>
      <c r="E2057" s="67"/>
    </row>
    <row r="2058" spans="1:5" ht="14.25">
      <c r="A2058" s="67"/>
      <c r="B2058" s="67"/>
      <c r="C2058" s="67"/>
      <c r="D2058" s="67"/>
      <c r="E2058" s="67"/>
    </row>
    <row r="2059" spans="1:5" s="30" customFormat="1" ht="14.25">
      <c r="A2059" s="67"/>
      <c r="B2059" s="67"/>
      <c r="C2059" s="67"/>
      <c r="D2059" s="67"/>
      <c r="E2059" s="67"/>
    </row>
    <row r="2060" spans="1:5" ht="15" customHeight="1">
      <c r="A2060" s="67"/>
      <c r="B2060" s="67"/>
      <c r="C2060" s="67"/>
      <c r="D2060" s="67"/>
      <c r="E2060" s="67"/>
    </row>
    <row r="2061" spans="1:5" ht="48" customHeight="1">
      <c r="A2061" s="67"/>
      <c r="B2061" s="67"/>
      <c r="C2061" s="67"/>
      <c r="D2061" s="67"/>
      <c r="E2061" s="67"/>
    </row>
    <row r="2062" spans="1:5" ht="14.25">
      <c r="A2062" s="67"/>
      <c r="B2062" s="67"/>
      <c r="C2062" s="67"/>
      <c r="D2062" s="67"/>
      <c r="E2062" s="67"/>
    </row>
    <row r="2063" spans="1:5" ht="14.25">
      <c r="A2063" s="67"/>
      <c r="B2063" s="67"/>
      <c r="C2063" s="67"/>
      <c r="D2063" s="67"/>
      <c r="E2063" s="67"/>
    </row>
    <row r="2064" spans="1:5" ht="14.25">
      <c r="A2064" s="67"/>
      <c r="B2064" s="67"/>
      <c r="C2064" s="67"/>
      <c r="D2064" s="67"/>
      <c r="E2064" s="67"/>
    </row>
    <row r="2065" spans="1:5" ht="14.25">
      <c r="A2065" s="67"/>
      <c r="B2065" s="67"/>
      <c r="C2065" s="67"/>
      <c r="D2065" s="67"/>
      <c r="E2065" s="67"/>
    </row>
    <row r="2066" spans="1:5" ht="14.25">
      <c r="A2066" s="67"/>
      <c r="B2066" s="67"/>
      <c r="C2066" s="67"/>
      <c r="D2066" s="67"/>
      <c r="E2066" s="67"/>
    </row>
    <row r="2067" spans="1:5" s="2" customFormat="1" ht="12.75">
      <c r="A2067" s="67"/>
      <c r="B2067" s="67"/>
      <c r="C2067" s="67"/>
      <c r="D2067" s="67"/>
      <c r="E2067" s="67"/>
    </row>
    <row r="2068" spans="1:5" s="2" customFormat="1" ht="12.75">
      <c r="A2068" s="67"/>
      <c r="B2068" s="67"/>
      <c r="C2068" s="67"/>
      <c r="D2068" s="67"/>
      <c r="E2068" s="67"/>
    </row>
    <row r="2069" spans="1:5" ht="14.25">
      <c r="A2069" s="67"/>
      <c r="B2069" s="67"/>
      <c r="C2069" s="67"/>
      <c r="D2069" s="67"/>
      <c r="E2069" s="67"/>
    </row>
    <row r="2070" spans="1:5" s="2" customFormat="1" ht="12.75">
      <c r="A2070" s="67"/>
      <c r="B2070" s="67"/>
      <c r="C2070" s="67"/>
      <c r="D2070" s="67"/>
      <c r="E2070" s="67"/>
    </row>
    <row r="2071" spans="1:5" s="2" customFormat="1" ht="12.75" customHeight="1">
      <c r="A2071" s="67"/>
      <c r="B2071" s="67"/>
      <c r="C2071" s="67"/>
      <c r="D2071" s="67"/>
      <c r="E2071" s="67"/>
    </row>
    <row r="2072" spans="1:5" ht="14.25">
      <c r="A2072" s="67"/>
      <c r="B2072" s="67"/>
      <c r="C2072" s="67"/>
      <c r="D2072" s="67"/>
      <c r="E2072" s="67"/>
    </row>
    <row r="2073" spans="1:5" ht="15" customHeight="1">
      <c r="A2073" s="67"/>
      <c r="B2073" s="67"/>
      <c r="C2073" s="67"/>
      <c r="D2073" s="67"/>
      <c r="E2073" s="67"/>
    </row>
    <row r="2074" spans="1:5" ht="14.25">
      <c r="A2074" s="67"/>
      <c r="B2074" s="67"/>
      <c r="C2074" s="67"/>
      <c r="D2074" s="67"/>
      <c r="E2074" s="67"/>
    </row>
    <row r="2075" spans="1:5" ht="14.25">
      <c r="A2075" s="67"/>
      <c r="B2075" s="67"/>
      <c r="C2075" s="67"/>
      <c r="D2075" s="67"/>
      <c r="E2075" s="67"/>
    </row>
    <row r="2076" spans="1:5" ht="14.25">
      <c r="A2076" s="67"/>
      <c r="B2076" s="67"/>
      <c r="C2076" s="67"/>
      <c r="D2076" s="67"/>
      <c r="E2076" s="67"/>
    </row>
    <row r="2077" spans="1:5" ht="14.25">
      <c r="A2077" s="67"/>
      <c r="B2077" s="67"/>
      <c r="C2077" s="67"/>
      <c r="D2077" s="67"/>
      <c r="E2077" s="67"/>
    </row>
    <row r="2078" spans="1:5" ht="14.25">
      <c r="A2078" s="67"/>
      <c r="B2078" s="67"/>
      <c r="C2078" s="67"/>
      <c r="D2078" s="67"/>
      <c r="E2078" s="67"/>
    </row>
    <row r="2079" spans="1:5" ht="15" customHeight="1">
      <c r="A2079" s="67"/>
      <c r="B2079" s="67"/>
      <c r="C2079" s="67"/>
      <c r="D2079" s="67"/>
      <c r="E2079" s="67"/>
    </row>
    <row r="2080" spans="1:5" ht="14.25">
      <c r="A2080" s="67"/>
      <c r="B2080" s="67"/>
      <c r="C2080" s="67"/>
      <c r="D2080" s="67"/>
      <c r="E2080" s="67"/>
    </row>
    <row r="2081" spans="1:5" ht="14.25">
      <c r="A2081" s="67"/>
      <c r="B2081" s="67"/>
      <c r="C2081" s="67"/>
      <c r="D2081" s="67"/>
      <c r="E2081" s="67"/>
    </row>
    <row r="2082" spans="1:5" ht="15" customHeight="1">
      <c r="A2082" s="67"/>
      <c r="B2082" s="67"/>
      <c r="C2082" s="67"/>
      <c r="D2082" s="67"/>
      <c r="E2082" s="67"/>
    </row>
    <row r="2083" spans="1:5" ht="15" customHeight="1">
      <c r="A2083" s="67"/>
      <c r="B2083" s="67"/>
      <c r="C2083" s="67"/>
      <c r="D2083" s="67"/>
      <c r="E2083" s="67"/>
    </row>
    <row r="2084" spans="1:5" ht="15" customHeight="1">
      <c r="A2084" s="67"/>
      <c r="B2084" s="67"/>
      <c r="C2084" s="67"/>
      <c r="D2084" s="67"/>
      <c r="E2084" s="67"/>
    </row>
    <row r="2085" spans="1:5" ht="15" customHeight="1">
      <c r="A2085" s="67"/>
      <c r="B2085" s="67"/>
      <c r="C2085" s="67"/>
      <c r="D2085" s="67"/>
      <c r="E2085" s="67"/>
    </row>
    <row r="2086" spans="1:5" ht="14.25">
      <c r="A2086" s="67"/>
      <c r="B2086" s="67"/>
      <c r="C2086" s="67"/>
      <c r="D2086" s="67"/>
      <c r="E2086" s="67"/>
    </row>
    <row r="2087" spans="1:5" ht="14.25">
      <c r="A2087" s="67"/>
      <c r="B2087" s="67"/>
      <c r="C2087" s="67"/>
      <c r="D2087" s="67"/>
      <c r="E2087" s="67"/>
    </row>
    <row r="2088" spans="1:5" ht="14.25">
      <c r="A2088" s="67"/>
      <c r="B2088" s="67"/>
      <c r="C2088" s="67"/>
      <c r="D2088" s="67"/>
      <c r="E2088" s="67"/>
    </row>
    <row r="2089" spans="1:5" s="30" customFormat="1" ht="14.25">
      <c r="A2089" s="67"/>
      <c r="B2089" s="67"/>
      <c r="C2089" s="67"/>
      <c r="D2089" s="67"/>
      <c r="E2089" s="67"/>
    </row>
    <row r="2090" spans="1:5" ht="15" customHeight="1">
      <c r="A2090" s="67"/>
      <c r="B2090" s="67"/>
      <c r="C2090" s="67"/>
      <c r="D2090" s="67"/>
      <c r="E2090" s="67"/>
    </row>
    <row r="2091" spans="1:5" ht="45.75" customHeight="1">
      <c r="A2091" s="67"/>
      <c r="B2091" s="67"/>
      <c r="C2091" s="67"/>
      <c r="D2091" s="67"/>
      <c r="E2091" s="67"/>
    </row>
    <row r="2092" spans="1:5" ht="14.25">
      <c r="A2092" s="67"/>
      <c r="B2092" s="67"/>
      <c r="C2092" s="67"/>
      <c r="D2092" s="67"/>
      <c r="E2092" s="67"/>
    </row>
    <row r="2093" spans="1:5" ht="14.25">
      <c r="A2093" s="67"/>
      <c r="B2093" s="67"/>
      <c r="C2093" s="67"/>
      <c r="D2093" s="67"/>
      <c r="E2093" s="67"/>
    </row>
    <row r="2094" spans="1:5" ht="14.25">
      <c r="A2094" s="67"/>
      <c r="B2094" s="67"/>
      <c r="C2094" s="67"/>
      <c r="D2094" s="67"/>
      <c r="E2094" s="67"/>
    </row>
    <row r="2095" spans="1:5" ht="14.25">
      <c r="A2095" s="67"/>
      <c r="B2095" s="67"/>
      <c r="C2095" s="67"/>
      <c r="D2095" s="67"/>
      <c r="E2095" s="67"/>
    </row>
    <row r="2096" spans="1:5" ht="14.25">
      <c r="A2096" s="67"/>
      <c r="B2096" s="67"/>
      <c r="C2096" s="67"/>
      <c r="D2096" s="67"/>
      <c r="E2096" s="67"/>
    </row>
    <row r="2097" spans="1:5" s="2" customFormat="1" ht="12.75">
      <c r="A2097" s="67"/>
      <c r="B2097" s="67"/>
      <c r="C2097" s="67"/>
      <c r="D2097" s="67"/>
      <c r="E2097" s="67"/>
    </row>
    <row r="2098" spans="1:5" s="2" customFormat="1" ht="12.75">
      <c r="A2098" s="67"/>
      <c r="B2098" s="67"/>
      <c r="C2098" s="67"/>
      <c r="D2098" s="67"/>
      <c r="E2098" s="67"/>
    </row>
    <row r="2099" spans="1:5" ht="14.25">
      <c r="A2099" s="67"/>
      <c r="B2099" s="67"/>
      <c r="C2099" s="67"/>
      <c r="D2099" s="67"/>
      <c r="E2099" s="67"/>
    </row>
    <row r="2100" spans="1:5" s="2" customFormat="1" ht="12.75">
      <c r="A2100" s="67"/>
      <c r="B2100" s="67"/>
      <c r="C2100" s="67"/>
      <c r="D2100" s="67"/>
      <c r="E2100" s="67"/>
    </row>
    <row r="2101" spans="1:5" s="2" customFormat="1" ht="12.75" customHeight="1">
      <c r="A2101" s="67"/>
      <c r="B2101" s="67"/>
      <c r="C2101" s="67"/>
      <c r="D2101" s="67"/>
      <c r="E2101" s="67"/>
    </row>
    <row r="2102" spans="1:5" ht="14.25">
      <c r="A2102" s="67"/>
      <c r="B2102" s="67"/>
      <c r="C2102" s="67"/>
      <c r="D2102" s="67"/>
      <c r="E2102" s="67"/>
    </row>
    <row r="2103" spans="1:5" ht="15" customHeight="1">
      <c r="A2103" s="67"/>
      <c r="B2103" s="67"/>
      <c r="C2103" s="67"/>
      <c r="D2103" s="67"/>
      <c r="E2103" s="67"/>
    </row>
    <row r="2104" spans="1:5" ht="14.25">
      <c r="A2104" s="67"/>
      <c r="B2104" s="67"/>
      <c r="C2104" s="67"/>
      <c r="D2104" s="67"/>
      <c r="E2104" s="67"/>
    </row>
    <row r="2105" spans="1:5" ht="14.25">
      <c r="A2105" s="67"/>
      <c r="B2105" s="67"/>
      <c r="C2105" s="67"/>
      <c r="D2105" s="67"/>
      <c r="E2105" s="67"/>
    </row>
    <row r="2106" spans="1:5" ht="14.25">
      <c r="A2106" s="67"/>
      <c r="B2106" s="67"/>
      <c r="C2106" s="67"/>
      <c r="D2106" s="67"/>
      <c r="E2106" s="67"/>
    </row>
    <row r="2107" spans="1:5" ht="14.25">
      <c r="A2107" s="67"/>
      <c r="B2107" s="67"/>
      <c r="C2107" s="67"/>
      <c r="D2107" s="67"/>
      <c r="E2107" s="67"/>
    </row>
    <row r="2108" spans="1:5" ht="14.25">
      <c r="A2108" s="67"/>
      <c r="B2108" s="67"/>
      <c r="C2108" s="67"/>
      <c r="D2108" s="67"/>
      <c r="E2108" s="67"/>
    </row>
    <row r="2109" spans="1:5" ht="14.25">
      <c r="A2109" s="67"/>
      <c r="B2109" s="67"/>
      <c r="C2109" s="67"/>
      <c r="D2109" s="67"/>
      <c r="E2109" s="67"/>
    </row>
    <row r="2110" spans="1:5" ht="14.25">
      <c r="A2110" s="67"/>
      <c r="B2110" s="67"/>
      <c r="C2110" s="67"/>
      <c r="D2110" s="67"/>
      <c r="E2110" s="67"/>
    </row>
    <row r="2111" spans="1:5" ht="14.25">
      <c r="A2111" s="67"/>
      <c r="B2111" s="67"/>
      <c r="C2111" s="67"/>
      <c r="D2111" s="67"/>
      <c r="E2111" s="67"/>
    </row>
    <row r="2112" spans="1:5" ht="14.25">
      <c r="A2112" s="67"/>
      <c r="B2112" s="67"/>
      <c r="C2112" s="67"/>
      <c r="D2112" s="67"/>
      <c r="E2112" s="67"/>
    </row>
    <row r="2113" spans="1:5" ht="14.25">
      <c r="A2113" s="67"/>
      <c r="B2113" s="67"/>
      <c r="C2113" s="67"/>
      <c r="D2113" s="67"/>
      <c r="E2113" s="67"/>
    </row>
    <row r="2114" spans="1:5" ht="14.25">
      <c r="A2114" s="67"/>
      <c r="B2114" s="67"/>
      <c r="C2114" s="67"/>
      <c r="D2114" s="67"/>
      <c r="E2114" s="67"/>
    </row>
    <row r="2115" spans="1:5" ht="14.25">
      <c r="A2115" s="67"/>
      <c r="B2115" s="67"/>
      <c r="C2115" s="67"/>
      <c r="D2115" s="67"/>
      <c r="E2115" s="67"/>
    </row>
    <row r="2116" spans="1:5" ht="14.25">
      <c r="A2116" s="67"/>
      <c r="B2116" s="67"/>
      <c r="C2116" s="67"/>
      <c r="D2116" s="67"/>
      <c r="E2116" s="67"/>
    </row>
    <row r="2117" spans="1:5" ht="14.25">
      <c r="A2117" s="67"/>
      <c r="B2117" s="67"/>
      <c r="C2117" s="67"/>
      <c r="D2117" s="67"/>
      <c r="E2117" s="67"/>
    </row>
    <row r="2118" spans="1:5" ht="14.25">
      <c r="A2118" s="67"/>
      <c r="B2118" s="67"/>
      <c r="C2118" s="67"/>
      <c r="D2118" s="67"/>
      <c r="E2118" s="67"/>
    </row>
    <row r="2119" spans="1:5" ht="14.25">
      <c r="A2119" s="67"/>
      <c r="B2119" s="67"/>
      <c r="C2119" s="67"/>
      <c r="D2119" s="67"/>
      <c r="E2119" s="67"/>
    </row>
    <row r="2120" spans="1:5" ht="14.25">
      <c r="A2120" s="67"/>
      <c r="B2120" s="67"/>
      <c r="C2120" s="67"/>
      <c r="D2120" s="67"/>
      <c r="E2120" s="67"/>
    </row>
    <row r="2121" spans="1:5" ht="14.25">
      <c r="A2121" s="67"/>
      <c r="B2121" s="67"/>
      <c r="C2121" s="67"/>
      <c r="D2121" s="67"/>
      <c r="E2121" s="67"/>
    </row>
    <row r="2122" spans="1:5" ht="14.25">
      <c r="A2122" s="67"/>
      <c r="B2122" s="67"/>
      <c r="C2122" s="67"/>
      <c r="D2122" s="67"/>
      <c r="E2122" s="67"/>
    </row>
    <row r="2123" spans="1:5" ht="14.25">
      <c r="A2123" s="67"/>
      <c r="B2123" s="67"/>
      <c r="C2123" s="67"/>
      <c r="D2123" s="67"/>
      <c r="E2123" s="67"/>
    </row>
    <row r="2124" spans="1:5" ht="14.25">
      <c r="A2124" s="67"/>
      <c r="B2124" s="67"/>
      <c r="C2124" s="67"/>
      <c r="D2124" s="67"/>
      <c r="E2124" s="67"/>
    </row>
    <row r="2125" spans="1:5" ht="14.25">
      <c r="A2125" s="67"/>
      <c r="B2125" s="67"/>
      <c r="C2125" s="67"/>
      <c r="D2125" s="67"/>
      <c r="E2125" s="67"/>
    </row>
    <row r="2126" spans="1:5" ht="14.25">
      <c r="A2126" s="67"/>
      <c r="B2126" s="67"/>
      <c r="C2126" s="67"/>
      <c r="D2126" s="67"/>
      <c r="E2126" s="67"/>
    </row>
    <row r="2127" spans="1:5" ht="14.25">
      <c r="A2127" s="67"/>
      <c r="B2127" s="67"/>
      <c r="C2127" s="67"/>
      <c r="D2127" s="67"/>
      <c r="E2127" s="67"/>
    </row>
    <row r="2128" spans="1:5" ht="14.25">
      <c r="A2128" s="67"/>
      <c r="B2128" s="67"/>
      <c r="C2128" s="67"/>
      <c r="D2128" s="67"/>
      <c r="E2128" s="67"/>
    </row>
    <row r="2129" spans="1:5" ht="14.25">
      <c r="A2129" s="67"/>
      <c r="B2129" s="67"/>
      <c r="C2129" s="67"/>
      <c r="D2129" s="67"/>
      <c r="E2129" s="67"/>
    </row>
    <row r="2130" spans="1:5" ht="14.25">
      <c r="A2130" s="67"/>
      <c r="B2130" s="67"/>
      <c r="C2130" s="67"/>
      <c r="D2130" s="67"/>
      <c r="E2130" s="67"/>
    </row>
    <row r="2131" spans="1:5" ht="14.25">
      <c r="A2131" s="67"/>
      <c r="B2131" s="67"/>
      <c r="C2131" s="67"/>
      <c r="D2131" s="67"/>
      <c r="E2131" s="67"/>
    </row>
    <row r="2132" spans="1:5" ht="14.25">
      <c r="A2132" s="67"/>
      <c r="B2132" s="67"/>
      <c r="C2132" s="67"/>
      <c r="D2132" s="67"/>
      <c r="E2132" s="67"/>
    </row>
    <row r="2133" spans="1:5" ht="14.25">
      <c r="A2133" s="67"/>
      <c r="B2133" s="67"/>
      <c r="C2133" s="67"/>
      <c r="D2133" s="67"/>
      <c r="E2133" s="67"/>
    </row>
    <row r="2134" spans="1:5" ht="14.25">
      <c r="A2134" s="67"/>
      <c r="B2134" s="67"/>
      <c r="C2134" s="67"/>
      <c r="D2134" s="67"/>
      <c r="E2134" s="67"/>
    </row>
    <row r="2135" spans="1:5" ht="14.25">
      <c r="A2135" s="67"/>
      <c r="B2135" s="67"/>
      <c r="C2135" s="67"/>
      <c r="D2135" s="67"/>
      <c r="E2135" s="67"/>
    </row>
    <row r="2136" spans="1:5" ht="14.25">
      <c r="A2136" s="67"/>
      <c r="B2136" s="67"/>
      <c r="C2136" s="67"/>
      <c r="D2136" s="67"/>
      <c r="E2136" s="67"/>
    </row>
    <row r="2137" spans="1:5" ht="14.25">
      <c r="A2137" s="67"/>
      <c r="B2137" s="67"/>
      <c r="C2137" s="67"/>
      <c r="D2137" s="67"/>
      <c r="E2137" s="67"/>
    </row>
    <row r="2138" spans="1:5" ht="14.25">
      <c r="A2138" s="67"/>
      <c r="B2138" s="67"/>
      <c r="C2138" s="67"/>
      <c r="D2138" s="67"/>
      <c r="E2138" s="67"/>
    </row>
    <row r="2139" spans="1:5" ht="14.25">
      <c r="A2139" s="67"/>
      <c r="B2139" s="67"/>
      <c r="C2139" s="67"/>
      <c r="D2139" s="67"/>
      <c r="E2139" s="67"/>
    </row>
    <row r="2140" spans="1:5" ht="14.25">
      <c r="A2140" s="67"/>
      <c r="B2140" s="67"/>
      <c r="C2140" s="67"/>
      <c r="D2140" s="67"/>
      <c r="E2140" s="67"/>
    </row>
    <row r="2141" spans="1:5" ht="14.25">
      <c r="A2141" s="67"/>
      <c r="B2141" s="67"/>
      <c r="C2141" s="67"/>
      <c r="D2141" s="67"/>
      <c r="E2141" s="67"/>
    </row>
    <row r="2142" spans="1:5" ht="14.25">
      <c r="A2142" s="67"/>
      <c r="B2142" s="67"/>
      <c r="C2142" s="67"/>
      <c r="D2142" s="67"/>
      <c r="E2142" s="67"/>
    </row>
    <row r="2143" spans="1:5" ht="14.25">
      <c r="A2143" s="67"/>
      <c r="B2143" s="67"/>
      <c r="C2143" s="67"/>
      <c r="D2143" s="67"/>
      <c r="E2143" s="67"/>
    </row>
    <row r="2144" spans="1:5" ht="14.25">
      <c r="A2144" s="67"/>
      <c r="B2144" s="67"/>
      <c r="C2144" s="67"/>
      <c r="D2144" s="67"/>
      <c r="E2144" s="67"/>
    </row>
    <row r="2145" spans="1:5" ht="14.25">
      <c r="A2145" s="67"/>
      <c r="B2145" s="67"/>
      <c r="C2145" s="67"/>
      <c r="D2145" s="67"/>
      <c r="E2145" s="67"/>
    </row>
    <row r="2146" spans="1:5" ht="14.25">
      <c r="A2146" s="67"/>
      <c r="B2146" s="67"/>
      <c r="C2146" s="67"/>
      <c r="D2146" s="67"/>
      <c r="E2146" s="67"/>
    </row>
    <row r="2147" spans="1:5" ht="14.25">
      <c r="A2147" s="67"/>
      <c r="B2147" s="67"/>
      <c r="C2147" s="67"/>
      <c r="D2147" s="67"/>
      <c r="E2147" s="67"/>
    </row>
    <row r="2148" spans="1:5" ht="14.25">
      <c r="A2148" s="67"/>
      <c r="B2148" s="67"/>
      <c r="C2148" s="67"/>
      <c r="D2148" s="67"/>
      <c r="E2148" s="67"/>
    </row>
    <row r="2149" spans="1:5" ht="14.25">
      <c r="A2149" s="67"/>
      <c r="B2149" s="67"/>
      <c r="C2149" s="67"/>
      <c r="D2149" s="67"/>
      <c r="E2149" s="67"/>
    </row>
    <row r="2150" spans="1:5" ht="14.25">
      <c r="A2150" s="67"/>
      <c r="B2150" s="67"/>
      <c r="C2150" s="67"/>
      <c r="D2150" s="67"/>
      <c r="E2150" s="67"/>
    </row>
    <row r="2151" spans="1:5" ht="14.25">
      <c r="A2151" s="67"/>
      <c r="B2151" s="67"/>
      <c r="C2151" s="67"/>
      <c r="D2151" s="67"/>
      <c r="E2151" s="67"/>
    </row>
    <row r="2152" spans="1:5" ht="14.25">
      <c r="A2152" s="67"/>
      <c r="B2152" s="67"/>
      <c r="C2152" s="67"/>
      <c r="D2152" s="67"/>
      <c r="E2152" s="67"/>
    </row>
    <row r="2153" spans="1:5" ht="14.25">
      <c r="A2153" s="67"/>
      <c r="B2153" s="67"/>
      <c r="C2153" s="67"/>
      <c r="D2153" s="67"/>
      <c r="E2153" s="67"/>
    </row>
    <row r="2154" spans="1:5" ht="14.25">
      <c r="A2154" s="67"/>
      <c r="B2154" s="67"/>
      <c r="C2154" s="67"/>
      <c r="D2154" s="67"/>
      <c r="E2154" s="67"/>
    </row>
    <row r="2155" spans="1:5" ht="14.25">
      <c r="A2155" s="67"/>
      <c r="B2155" s="67"/>
      <c r="C2155" s="67"/>
      <c r="D2155" s="67"/>
      <c r="E2155" s="67"/>
    </row>
    <row r="2156" spans="1:5" ht="14.25">
      <c r="A2156" s="67"/>
      <c r="B2156" s="67"/>
      <c r="C2156" s="67"/>
      <c r="D2156" s="67"/>
      <c r="E2156" s="67"/>
    </row>
    <row r="2157" spans="1:5" ht="14.25">
      <c r="A2157" s="67"/>
      <c r="B2157" s="67"/>
      <c r="C2157" s="67"/>
      <c r="D2157" s="67"/>
      <c r="E2157" s="67"/>
    </row>
    <row r="2158" spans="1:5" ht="14.25">
      <c r="A2158" s="67"/>
      <c r="B2158" s="67"/>
      <c r="C2158" s="67"/>
      <c r="D2158" s="67"/>
      <c r="E2158" s="67"/>
    </row>
    <row r="2159" spans="1:5" ht="14.25">
      <c r="A2159" s="67"/>
      <c r="B2159" s="67"/>
      <c r="C2159" s="67"/>
      <c r="D2159" s="67"/>
      <c r="E2159" s="67"/>
    </row>
    <row r="2160" spans="1:5" ht="14.25">
      <c r="A2160" s="67"/>
      <c r="B2160" s="67"/>
      <c r="C2160" s="67"/>
      <c r="D2160" s="67"/>
      <c r="E2160" s="67"/>
    </row>
    <row r="2161" spans="1:5" ht="14.25">
      <c r="A2161" s="67"/>
      <c r="B2161" s="67"/>
      <c r="C2161" s="67"/>
      <c r="D2161" s="67"/>
      <c r="E2161" s="67"/>
    </row>
    <row r="2162" spans="1:5" ht="14.25">
      <c r="A2162" s="67"/>
      <c r="B2162" s="67"/>
      <c r="C2162" s="67"/>
      <c r="D2162" s="67"/>
      <c r="E2162" s="67"/>
    </row>
    <row r="2163" spans="1:5" ht="14.25">
      <c r="A2163" s="67"/>
      <c r="B2163" s="67"/>
      <c r="C2163" s="67"/>
      <c r="D2163" s="67"/>
      <c r="E2163" s="67"/>
    </row>
    <row r="2164" spans="1:5" ht="14.25">
      <c r="A2164" s="67"/>
      <c r="B2164" s="67"/>
      <c r="C2164" s="67"/>
      <c r="D2164" s="67"/>
      <c r="E2164" s="67"/>
    </row>
    <row r="2165" spans="1:5" ht="14.25">
      <c r="A2165" s="67"/>
      <c r="B2165" s="67"/>
      <c r="C2165" s="67"/>
      <c r="D2165" s="67"/>
      <c r="E2165" s="67"/>
    </row>
    <row r="2166" spans="1:5" ht="14.25">
      <c r="A2166" s="67"/>
      <c r="B2166" s="67"/>
      <c r="C2166" s="67"/>
      <c r="D2166" s="67"/>
      <c r="E2166" s="67"/>
    </row>
    <row r="2167" spans="1:5" ht="14.25">
      <c r="A2167" s="67"/>
      <c r="B2167" s="67"/>
      <c r="C2167" s="67"/>
      <c r="D2167" s="67"/>
      <c r="E2167" s="67"/>
    </row>
    <row r="2168" spans="1:5" ht="14.25">
      <c r="A2168" s="67"/>
      <c r="B2168" s="67"/>
      <c r="C2168" s="67"/>
      <c r="D2168" s="67"/>
      <c r="E2168" s="67"/>
    </row>
    <row r="2169" spans="1:5" ht="14.25">
      <c r="A2169" s="67"/>
      <c r="B2169" s="67"/>
      <c r="C2169" s="67"/>
      <c r="D2169" s="67"/>
      <c r="E2169" s="67"/>
    </row>
    <row r="2170" spans="1:5" ht="14.25">
      <c r="A2170" s="67"/>
      <c r="B2170" s="67"/>
      <c r="C2170" s="67"/>
      <c r="D2170" s="67"/>
      <c r="E2170" s="67"/>
    </row>
    <row r="2171" spans="1:5" ht="14.25">
      <c r="A2171" s="67"/>
      <c r="B2171" s="67"/>
      <c r="C2171" s="67"/>
      <c r="D2171" s="67"/>
      <c r="E2171" s="67"/>
    </row>
    <row r="2172" spans="1:5" ht="14.25">
      <c r="A2172" s="67"/>
      <c r="B2172" s="67"/>
      <c r="C2172" s="67"/>
      <c r="D2172" s="67"/>
      <c r="E2172" s="67"/>
    </row>
    <row r="2173" spans="1:5" ht="14.25">
      <c r="A2173" s="67"/>
      <c r="B2173" s="67"/>
      <c r="C2173" s="67"/>
      <c r="D2173" s="67"/>
      <c r="E2173" s="67"/>
    </row>
    <row r="2174" spans="1:5" ht="14.25">
      <c r="A2174" s="67"/>
      <c r="B2174" s="67"/>
      <c r="C2174" s="67"/>
      <c r="D2174" s="67"/>
      <c r="E2174" s="67"/>
    </row>
    <row r="2175" spans="1:5" ht="14.25">
      <c r="A2175" s="67"/>
      <c r="B2175" s="67"/>
      <c r="C2175" s="67"/>
      <c r="D2175" s="67"/>
      <c r="E2175" s="67"/>
    </row>
    <row r="2176" spans="1:5" ht="14.25">
      <c r="A2176" s="67"/>
      <c r="B2176" s="67"/>
      <c r="C2176" s="67"/>
      <c r="D2176" s="67"/>
      <c r="E2176" s="67"/>
    </row>
    <row r="2177" spans="1:5" ht="14.25">
      <c r="A2177" s="67"/>
      <c r="B2177" s="67"/>
      <c r="C2177" s="67"/>
      <c r="D2177" s="67"/>
      <c r="E2177" s="67"/>
    </row>
    <row r="2178" spans="1:5" ht="14.25">
      <c r="A2178" s="67"/>
      <c r="B2178" s="67"/>
      <c r="C2178" s="67"/>
      <c r="D2178" s="67"/>
      <c r="E2178" s="67"/>
    </row>
    <row r="2179" spans="1:5" ht="14.25">
      <c r="A2179" s="67"/>
      <c r="B2179" s="67"/>
      <c r="C2179" s="67"/>
      <c r="D2179" s="67"/>
      <c r="E2179" s="67"/>
    </row>
    <row r="2180" spans="1:5" ht="14.25">
      <c r="A2180" s="67"/>
      <c r="B2180" s="67"/>
      <c r="C2180" s="67"/>
      <c r="D2180" s="67"/>
      <c r="E2180" s="67"/>
    </row>
    <row r="2181" spans="1:5" ht="14.25">
      <c r="A2181" s="67"/>
      <c r="B2181" s="67"/>
      <c r="C2181" s="67"/>
      <c r="D2181" s="67"/>
      <c r="E2181" s="67"/>
    </row>
    <row r="2182" spans="1:5" ht="14.25">
      <c r="A2182" s="67"/>
      <c r="B2182" s="67"/>
      <c r="C2182" s="67"/>
      <c r="D2182" s="67"/>
      <c r="E2182" s="67"/>
    </row>
    <row r="2183" spans="1:5" ht="14.25">
      <c r="A2183" s="67"/>
      <c r="B2183" s="67"/>
      <c r="C2183" s="67"/>
      <c r="D2183" s="67"/>
      <c r="E2183" s="67"/>
    </row>
    <row r="2184" spans="1:5" ht="14.25">
      <c r="A2184" s="67"/>
      <c r="B2184" s="67"/>
      <c r="C2184" s="67"/>
      <c r="D2184" s="67"/>
      <c r="E2184" s="67"/>
    </row>
    <row r="2185" spans="1:5" ht="14.25">
      <c r="A2185" s="67"/>
      <c r="B2185" s="67"/>
      <c r="C2185" s="67"/>
      <c r="D2185" s="67"/>
      <c r="E2185" s="67"/>
    </row>
    <row r="2186" spans="1:5" ht="14.25">
      <c r="A2186" s="67"/>
      <c r="B2186" s="67"/>
      <c r="C2186" s="67"/>
      <c r="D2186" s="67"/>
      <c r="E2186" s="67"/>
    </row>
    <row r="2187" spans="1:5" ht="14.25">
      <c r="A2187" s="67"/>
      <c r="B2187" s="67"/>
      <c r="C2187" s="67"/>
      <c r="D2187" s="67"/>
      <c r="E2187" s="67"/>
    </row>
    <row r="2188" spans="1:5" ht="14.25">
      <c r="A2188" s="67"/>
      <c r="B2188" s="67"/>
      <c r="C2188" s="67"/>
      <c r="D2188" s="67"/>
      <c r="E2188" s="67"/>
    </row>
    <row r="2189" spans="1:5" ht="14.25">
      <c r="A2189" s="67"/>
      <c r="B2189" s="67"/>
      <c r="C2189" s="67"/>
      <c r="D2189" s="67"/>
      <c r="E2189" s="67"/>
    </row>
    <row r="2190" spans="1:5" ht="14.25">
      <c r="A2190" s="67"/>
      <c r="B2190" s="67"/>
      <c r="C2190" s="67"/>
      <c r="D2190" s="67"/>
      <c r="E2190" s="67"/>
    </row>
    <row r="2191" spans="1:5" ht="14.25">
      <c r="A2191" s="67"/>
      <c r="B2191" s="67"/>
      <c r="C2191" s="67"/>
      <c r="D2191" s="67"/>
      <c r="E2191" s="67"/>
    </row>
    <row r="2192" spans="1:5" ht="14.25">
      <c r="A2192" s="67"/>
      <c r="B2192" s="67"/>
      <c r="C2192" s="67"/>
      <c r="D2192" s="67"/>
      <c r="E2192" s="67"/>
    </row>
    <row r="2193" spans="1:5" ht="14.25">
      <c r="A2193" s="67"/>
      <c r="B2193" s="67"/>
      <c r="C2193" s="67"/>
      <c r="D2193" s="67"/>
      <c r="E2193" s="67"/>
    </row>
    <row r="2194" spans="1:5" ht="14.25">
      <c r="A2194" s="67"/>
      <c r="B2194" s="67"/>
      <c r="C2194" s="67"/>
      <c r="D2194" s="67"/>
      <c r="E2194" s="67"/>
    </row>
    <row r="2195" spans="1:5" ht="14.25">
      <c r="A2195" s="67"/>
      <c r="B2195" s="67"/>
      <c r="C2195" s="67"/>
      <c r="D2195" s="67"/>
      <c r="E2195" s="67"/>
    </row>
    <row r="2196" spans="1:5" ht="14.25">
      <c r="A2196" s="67"/>
      <c r="B2196" s="67"/>
      <c r="C2196" s="67"/>
      <c r="D2196" s="67"/>
      <c r="E2196" s="67"/>
    </row>
    <row r="2197" spans="1:5" ht="14.25">
      <c r="A2197" s="67"/>
      <c r="B2197" s="67"/>
      <c r="C2197" s="67"/>
      <c r="D2197" s="67"/>
      <c r="E2197" s="67"/>
    </row>
    <row r="2198" spans="1:5" ht="14.25">
      <c r="A2198" s="67"/>
      <c r="B2198" s="67"/>
      <c r="C2198" s="67"/>
      <c r="D2198" s="67"/>
      <c r="E2198" s="67"/>
    </row>
    <row r="2199" spans="1:5" ht="14.25">
      <c r="A2199" s="67"/>
      <c r="B2199" s="67"/>
      <c r="C2199" s="67"/>
      <c r="D2199" s="67"/>
      <c r="E2199" s="67"/>
    </row>
    <row r="2200" spans="1:5" ht="14.25">
      <c r="A2200" s="67"/>
      <c r="B2200" s="67"/>
      <c r="C2200" s="67"/>
      <c r="D2200" s="67"/>
      <c r="E2200" s="67"/>
    </row>
    <row r="2201" spans="1:5" ht="14.25">
      <c r="A2201" s="67"/>
      <c r="B2201" s="67"/>
      <c r="C2201" s="67"/>
      <c r="D2201" s="67"/>
      <c r="E2201" s="67"/>
    </row>
    <row r="2202" spans="1:5" ht="14.25">
      <c r="A2202" s="67"/>
      <c r="B2202" s="67"/>
      <c r="C2202" s="67"/>
      <c r="D2202" s="67"/>
      <c r="E2202" s="67"/>
    </row>
    <row r="2203" spans="1:5" ht="14.25">
      <c r="A2203" s="67"/>
      <c r="B2203" s="67"/>
      <c r="C2203" s="67"/>
      <c r="D2203" s="67"/>
      <c r="E2203" s="67"/>
    </row>
    <row r="2204" spans="1:5" ht="14.25">
      <c r="A2204" s="67"/>
      <c r="B2204" s="67"/>
      <c r="C2204" s="67"/>
      <c r="D2204" s="67"/>
      <c r="E2204" s="67"/>
    </row>
    <row r="2205" spans="1:5" ht="14.25">
      <c r="A2205" s="67"/>
      <c r="B2205" s="67"/>
      <c r="C2205" s="67"/>
      <c r="D2205" s="67"/>
      <c r="E2205" s="67"/>
    </row>
    <row r="2206" spans="1:5" ht="14.25">
      <c r="A2206" s="67"/>
      <c r="B2206" s="67"/>
      <c r="C2206" s="67"/>
      <c r="D2206" s="67"/>
      <c r="E2206" s="67"/>
    </row>
    <row r="2207" spans="1:5" ht="14.25">
      <c r="A2207" s="67"/>
      <c r="B2207" s="67"/>
      <c r="C2207" s="67"/>
      <c r="D2207" s="67"/>
      <c r="E2207" s="67"/>
    </row>
    <row r="2208" spans="1:5" ht="14.25">
      <c r="A2208" s="67"/>
      <c r="B2208" s="67"/>
      <c r="C2208" s="67"/>
      <c r="D2208" s="67"/>
      <c r="E2208" s="67"/>
    </row>
    <row r="2209" spans="1:5" ht="14.25">
      <c r="A2209" s="67"/>
      <c r="B2209" s="67"/>
      <c r="C2209" s="67"/>
      <c r="D2209" s="67"/>
      <c r="E2209" s="67"/>
    </row>
    <row r="2210" spans="1:5" ht="14.25">
      <c r="A2210" s="67"/>
      <c r="B2210" s="67"/>
      <c r="C2210" s="67"/>
      <c r="D2210" s="67"/>
      <c r="E2210" s="67"/>
    </row>
    <row r="2211" spans="1:5" ht="14.25">
      <c r="A2211" s="67"/>
      <c r="B2211" s="67"/>
      <c r="C2211" s="67"/>
      <c r="D2211" s="67"/>
      <c r="E2211" s="67"/>
    </row>
    <row r="2212" spans="1:5" ht="14.25">
      <c r="A2212" s="67"/>
      <c r="B2212" s="67"/>
      <c r="C2212" s="67"/>
      <c r="D2212" s="67"/>
      <c r="E2212" s="67"/>
    </row>
    <row r="2213" spans="1:5" ht="14.25">
      <c r="A2213" s="67"/>
      <c r="B2213" s="67"/>
      <c r="C2213" s="67"/>
      <c r="D2213" s="67"/>
      <c r="E2213" s="67"/>
    </row>
    <row r="2214" spans="1:5" ht="14.25">
      <c r="A2214" s="67"/>
      <c r="B2214" s="67"/>
      <c r="C2214" s="67"/>
      <c r="D2214" s="67"/>
      <c r="E2214" s="67"/>
    </row>
    <row r="2215" spans="1:5" ht="14.25">
      <c r="A2215" s="67"/>
      <c r="B2215" s="67"/>
      <c r="C2215" s="67"/>
      <c r="D2215" s="67"/>
      <c r="E2215" s="67"/>
    </row>
    <row r="2216" spans="1:5" ht="14.25">
      <c r="A2216" s="67"/>
      <c r="B2216" s="67"/>
      <c r="C2216" s="67"/>
      <c r="D2216" s="67"/>
      <c r="E2216" s="67"/>
    </row>
    <row r="2217" spans="1:5" ht="14.25">
      <c r="A2217" s="67"/>
      <c r="B2217" s="67"/>
      <c r="C2217" s="67"/>
      <c r="D2217" s="67"/>
      <c r="E2217" s="67"/>
    </row>
    <row r="2218" spans="1:5" ht="14.25">
      <c r="A2218" s="67"/>
      <c r="B2218" s="67"/>
      <c r="C2218" s="67"/>
      <c r="D2218" s="67"/>
      <c r="E2218" s="67"/>
    </row>
    <row r="2219" spans="1:5" ht="14.25">
      <c r="A2219" s="67"/>
      <c r="B2219" s="67"/>
      <c r="C2219" s="67"/>
      <c r="D2219" s="67"/>
      <c r="E2219" s="67"/>
    </row>
    <row r="2220" spans="1:5" ht="14.25">
      <c r="A2220" s="67"/>
      <c r="B2220" s="67"/>
      <c r="C2220" s="67"/>
      <c r="D2220" s="67"/>
      <c r="E2220" s="67"/>
    </row>
    <row r="2221" spans="1:5" ht="14.25">
      <c r="A2221" s="67"/>
      <c r="B2221" s="67"/>
      <c r="C2221" s="67"/>
      <c r="D2221" s="67"/>
      <c r="E2221" s="67"/>
    </row>
    <row r="2222" spans="1:5" ht="14.25">
      <c r="A2222" s="67"/>
      <c r="B2222" s="67"/>
      <c r="C2222" s="67"/>
      <c r="D2222" s="67"/>
      <c r="E2222" s="67"/>
    </row>
    <row r="2223" spans="1:5" ht="14.25">
      <c r="A2223" s="67"/>
      <c r="B2223" s="67"/>
      <c r="C2223" s="67"/>
      <c r="D2223" s="67"/>
      <c r="E2223" s="67"/>
    </row>
    <row r="2224" spans="1:5" ht="14.25">
      <c r="A2224" s="67"/>
      <c r="B2224" s="67"/>
      <c r="C2224" s="67"/>
      <c r="D2224" s="67"/>
      <c r="E2224" s="67"/>
    </row>
    <row r="2225" spans="1:5" ht="14.25">
      <c r="A2225" s="67"/>
      <c r="B2225" s="67"/>
      <c r="C2225" s="67"/>
      <c r="D2225" s="67"/>
      <c r="E2225" s="67"/>
    </row>
    <row r="2226" spans="1:5" ht="14.25">
      <c r="A2226" s="67"/>
      <c r="B2226" s="67"/>
      <c r="C2226" s="67"/>
      <c r="D2226" s="67"/>
      <c r="E2226" s="67"/>
    </row>
    <row r="2227" spans="1:5" ht="14.25">
      <c r="A2227" s="67"/>
      <c r="B2227" s="67"/>
      <c r="C2227" s="67"/>
      <c r="D2227" s="67"/>
      <c r="E2227" s="67"/>
    </row>
    <row r="2228" spans="1:5" ht="14.25">
      <c r="A2228" s="67"/>
      <c r="B2228" s="67"/>
      <c r="C2228" s="67"/>
      <c r="D2228" s="67"/>
      <c r="E2228" s="67"/>
    </row>
    <row r="2229" spans="1:5" ht="14.25">
      <c r="A2229" s="67"/>
      <c r="B2229" s="67"/>
      <c r="C2229" s="67"/>
      <c r="D2229" s="67"/>
      <c r="E2229" s="67"/>
    </row>
    <row r="2230" spans="1:5" ht="14.25">
      <c r="A2230" s="67"/>
      <c r="B2230" s="67"/>
      <c r="C2230" s="67"/>
      <c r="D2230" s="67"/>
      <c r="E2230" s="67"/>
    </row>
    <row r="2231" spans="1:5" ht="14.25">
      <c r="A2231" s="67"/>
      <c r="B2231" s="67"/>
      <c r="C2231" s="67"/>
      <c r="D2231" s="67"/>
      <c r="E2231" s="67"/>
    </row>
    <row r="2232" spans="1:5" ht="14.25">
      <c r="A2232" s="67"/>
      <c r="B2232" s="67"/>
      <c r="C2232" s="67"/>
      <c r="D2232" s="67"/>
      <c r="E2232" s="67"/>
    </row>
    <row r="2233" spans="1:5" ht="14.25">
      <c r="A2233" s="67"/>
      <c r="B2233" s="67"/>
      <c r="C2233" s="67"/>
      <c r="D2233" s="67"/>
      <c r="E2233" s="67"/>
    </row>
    <row r="2234" spans="1:5" ht="14.25">
      <c r="A2234" s="67"/>
      <c r="B2234" s="67"/>
      <c r="C2234" s="67"/>
      <c r="D2234" s="67"/>
      <c r="E2234" s="67"/>
    </row>
    <row r="2235" spans="1:5" ht="14.25">
      <c r="A2235" s="67"/>
      <c r="B2235" s="67"/>
      <c r="C2235" s="67"/>
      <c r="D2235" s="67"/>
      <c r="E2235" s="67"/>
    </row>
    <row r="2236" spans="1:5" ht="14.25">
      <c r="A2236" s="67"/>
      <c r="B2236" s="67"/>
      <c r="C2236" s="67"/>
      <c r="D2236" s="67"/>
      <c r="E2236" s="67"/>
    </row>
    <row r="2237" spans="1:5" ht="14.25">
      <c r="A2237" s="67"/>
      <c r="B2237" s="67"/>
      <c r="C2237" s="67"/>
      <c r="D2237" s="67"/>
      <c r="E2237" s="67"/>
    </row>
    <row r="2238" spans="1:5" ht="14.25">
      <c r="A2238" s="67"/>
      <c r="B2238" s="67"/>
      <c r="C2238" s="67"/>
      <c r="D2238" s="67"/>
      <c r="E2238" s="67"/>
    </row>
    <row r="2239" spans="1:5" ht="14.25">
      <c r="A2239" s="67"/>
      <c r="B2239" s="67"/>
      <c r="C2239" s="67"/>
      <c r="D2239" s="67"/>
      <c r="E2239" s="67"/>
    </row>
    <row r="2240" spans="1:5" ht="14.25">
      <c r="A2240" s="67"/>
      <c r="B2240" s="67"/>
      <c r="C2240" s="67"/>
      <c r="D2240" s="67"/>
      <c r="E2240" s="67"/>
    </row>
    <row r="2241" spans="1:5" ht="14.25">
      <c r="A2241" s="67"/>
      <c r="B2241" s="67"/>
      <c r="C2241" s="67"/>
      <c r="D2241" s="67"/>
      <c r="E2241" s="67"/>
    </row>
    <row r="2242" spans="1:5" ht="14.25">
      <c r="A2242" s="67"/>
      <c r="B2242" s="67"/>
      <c r="C2242" s="67"/>
      <c r="D2242" s="67"/>
      <c r="E2242" s="67"/>
    </row>
    <row r="2243" spans="1:5" ht="14.25">
      <c r="A2243" s="67"/>
      <c r="B2243" s="67"/>
      <c r="C2243" s="67"/>
      <c r="D2243" s="67"/>
      <c r="E2243" s="67"/>
    </row>
    <row r="2244" spans="1:5" ht="14.25">
      <c r="A2244" s="67"/>
      <c r="B2244" s="67"/>
      <c r="C2244" s="67"/>
      <c r="D2244" s="67"/>
      <c r="E2244" s="67"/>
    </row>
    <row r="2245" spans="1:5" ht="14.25">
      <c r="A2245" s="67"/>
      <c r="B2245" s="67"/>
      <c r="C2245" s="67"/>
      <c r="D2245" s="67"/>
      <c r="E2245" s="67"/>
    </row>
    <row r="2246" spans="1:5" ht="14.25">
      <c r="A2246" s="67"/>
      <c r="B2246" s="67"/>
      <c r="C2246" s="67"/>
      <c r="D2246" s="67"/>
      <c r="E2246" s="67"/>
    </row>
    <row r="2247" spans="1:5" ht="14.25">
      <c r="A2247" s="67"/>
      <c r="B2247" s="67"/>
      <c r="C2247" s="67"/>
      <c r="D2247" s="67"/>
      <c r="E2247" s="67"/>
    </row>
    <row r="2248" spans="1:5" ht="14.25">
      <c r="A2248" s="67"/>
      <c r="B2248" s="67"/>
      <c r="C2248" s="67"/>
      <c r="D2248" s="67"/>
      <c r="E2248" s="67"/>
    </row>
    <row r="2249" spans="1:5" ht="14.25">
      <c r="A2249" s="67"/>
      <c r="B2249" s="67"/>
      <c r="C2249" s="67"/>
      <c r="D2249" s="67"/>
      <c r="E2249" s="67"/>
    </row>
    <row r="2250" spans="1:5" ht="14.25">
      <c r="A2250" s="67"/>
      <c r="B2250" s="67"/>
      <c r="C2250" s="67"/>
      <c r="D2250" s="67"/>
      <c r="E2250" s="67"/>
    </row>
    <row r="2251" spans="1:5" ht="14.25">
      <c r="A2251" s="67"/>
      <c r="B2251" s="67"/>
      <c r="C2251" s="67"/>
      <c r="D2251" s="67"/>
      <c r="E2251" s="67"/>
    </row>
    <row r="2252" spans="1:5" ht="14.25">
      <c r="A2252" s="67"/>
      <c r="B2252" s="67"/>
      <c r="C2252" s="67"/>
      <c r="D2252" s="67"/>
      <c r="E2252" s="67"/>
    </row>
    <row r="2253" spans="1:5" ht="14.25">
      <c r="A2253" s="67"/>
      <c r="B2253" s="67"/>
      <c r="C2253" s="67"/>
      <c r="D2253" s="67"/>
      <c r="E2253" s="67"/>
    </row>
    <row r="2254" spans="1:5" ht="14.25">
      <c r="A2254" s="67"/>
      <c r="B2254" s="67"/>
      <c r="C2254" s="67"/>
      <c r="D2254" s="67"/>
      <c r="E2254" s="67"/>
    </row>
    <row r="2255" spans="1:5" ht="14.25">
      <c r="A2255" s="67"/>
      <c r="B2255" s="67"/>
      <c r="C2255" s="67"/>
      <c r="D2255" s="67"/>
      <c r="E2255" s="67"/>
    </row>
    <row r="2256" spans="1:5" ht="14.25">
      <c r="A2256" s="67"/>
      <c r="B2256" s="67"/>
      <c r="C2256" s="67"/>
      <c r="D2256" s="67"/>
      <c r="E2256" s="67"/>
    </row>
    <row r="2257" spans="1:5" ht="14.25">
      <c r="A2257" s="67"/>
      <c r="B2257" s="67"/>
      <c r="C2257" s="67"/>
      <c r="D2257" s="67"/>
      <c r="E2257" s="67"/>
    </row>
    <row r="2258" spans="1:5" ht="14.25">
      <c r="A2258" s="67"/>
      <c r="B2258" s="67"/>
      <c r="C2258" s="67"/>
      <c r="D2258" s="67"/>
      <c r="E2258" s="67"/>
    </row>
    <row r="2259" spans="1:5" ht="14.25">
      <c r="A2259" s="67"/>
      <c r="B2259" s="67"/>
      <c r="C2259" s="67"/>
      <c r="D2259" s="67"/>
      <c r="E2259" s="67"/>
    </row>
    <row r="2260" spans="1:5" ht="14.25">
      <c r="A2260" s="67"/>
      <c r="B2260" s="67"/>
      <c r="C2260" s="67"/>
      <c r="D2260" s="67"/>
      <c r="E2260" s="67"/>
    </row>
    <row r="2261" spans="1:5" ht="14.25">
      <c r="A2261" s="67"/>
      <c r="B2261" s="67"/>
      <c r="C2261" s="67"/>
      <c r="D2261" s="67"/>
      <c r="E2261" s="67"/>
    </row>
    <row r="2262" spans="1:5" ht="14.25">
      <c r="A2262" s="67"/>
      <c r="B2262" s="67"/>
      <c r="C2262" s="67"/>
      <c r="D2262" s="67"/>
      <c r="E2262" s="67"/>
    </row>
    <row r="2263" spans="1:5" ht="14.25">
      <c r="A2263" s="67"/>
      <c r="B2263" s="67"/>
      <c r="C2263" s="67"/>
      <c r="D2263" s="67"/>
      <c r="E2263" s="67"/>
    </row>
    <row r="2264" spans="1:5" ht="14.25">
      <c r="A2264" s="67"/>
      <c r="B2264" s="67"/>
      <c r="C2264" s="67"/>
      <c r="D2264" s="67"/>
      <c r="E2264" s="67"/>
    </row>
    <row r="2265" spans="1:5" ht="14.25">
      <c r="A2265" s="67"/>
      <c r="B2265" s="67"/>
      <c r="C2265" s="67"/>
      <c r="D2265" s="67"/>
      <c r="E2265" s="67"/>
    </row>
    <row r="2266" spans="1:5" ht="14.25">
      <c r="A2266" s="67"/>
      <c r="B2266" s="67"/>
      <c r="C2266" s="67"/>
      <c r="D2266" s="67"/>
      <c r="E2266" s="67"/>
    </row>
    <row r="2267" spans="1:5" ht="14.25">
      <c r="A2267" s="67"/>
      <c r="B2267" s="67"/>
      <c r="C2267" s="67"/>
      <c r="D2267" s="67"/>
      <c r="E2267" s="67"/>
    </row>
    <row r="2268" spans="1:5" ht="14.25">
      <c r="A2268" s="67"/>
      <c r="B2268" s="67"/>
      <c r="C2268" s="67"/>
      <c r="D2268" s="67"/>
      <c r="E2268" s="67"/>
    </row>
    <row r="2269" spans="1:5" ht="14.25">
      <c r="A2269" s="67"/>
      <c r="B2269" s="67"/>
      <c r="C2269" s="67"/>
      <c r="D2269" s="67"/>
      <c r="E2269" s="67"/>
    </row>
    <row r="2270" spans="1:5" ht="14.25">
      <c r="A2270" s="67"/>
      <c r="B2270" s="67"/>
      <c r="C2270" s="67"/>
      <c r="D2270" s="67"/>
      <c r="E2270" s="67"/>
    </row>
    <row r="2271" spans="1:5" ht="14.25">
      <c r="A2271" s="67"/>
      <c r="B2271" s="67"/>
      <c r="C2271" s="67"/>
      <c r="D2271" s="67"/>
      <c r="E2271" s="67"/>
    </row>
    <row r="2272" spans="1:5" ht="14.25">
      <c r="A2272" s="67"/>
      <c r="B2272" s="67"/>
      <c r="C2272" s="67"/>
      <c r="D2272" s="67"/>
      <c r="E2272" s="67"/>
    </row>
    <row r="2273" spans="1:5" ht="14.25">
      <c r="A2273" s="67"/>
      <c r="B2273" s="67"/>
      <c r="C2273" s="67"/>
      <c r="D2273" s="67"/>
      <c r="E2273" s="67"/>
    </row>
    <row r="2274" spans="1:5" ht="14.25">
      <c r="A2274" s="67"/>
      <c r="B2274" s="67"/>
      <c r="C2274" s="67"/>
      <c r="D2274" s="67"/>
      <c r="E2274" s="67"/>
    </row>
    <row r="2275" spans="1:5" ht="14.25">
      <c r="A2275" s="67"/>
      <c r="B2275" s="67"/>
      <c r="C2275" s="67"/>
      <c r="D2275" s="67"/>
      <c r="E2275" s="67"/>
    </row>
    <row r="2276" spans="1:5" ht="14.25">
      <c r="A2276" s="67"/>
      <c r="B2276" s="67"/>
      <c r="C2276" s="67"/>
      <c r="D2276" s="67"/>
      <c r="E2276" s="67"/>
    </row>
    <row r="2277" spans="1:5" ht="14.25">
      <c r="A2277" s="67"/>
      <c r="B2277" s="67"/>
      <c r="C2277" s="67"/>
      <c r="D2277" s="67"/>
      <c r="E2277" s="67"/>
    </row>
    <row r="2278" spans="1:5" ht="14.25">
      <c r="A2278" s="67"/>
      <c r="B2278" s="67"/>
      <c r="C2278" s="67"/>
      <c r="D2278" s="67"/>
      <c r="E2278" s="67"/>
    </row>
    <row r="2279" spans="1:5" ht="14.25">
      <c r="A2279" s="67"/>
      <c r="B2279" s="67"/>
      <c r="C2279" s="67"/>
      <c r="D2279" s="67"/>
      <c r="E2279" s="67"/>
    </row>
    <row r="2280" spans="1:5" ht="14.25">
      <c r="A2280" s="67"/>
      <c r="B2280" s="67"/>
      <c r="C2280" s="67"/>
      <c r="D2280" s="67"/>
      <c r="E2280" s="67"/>
    </row>
    <row r="2281" spans="1:5" ht="14.25">
      <c r="A2281" s="67"/>
      <c r="B2281" s="67"/>
      <c r="C2281" s="67"/>
      <c r="D2281" s="67"/>
      <c r="E2281" s="67"/>
    </row>
    <row r="2282" spans="1:5" ht="14.25">
      <c r="A2282" s="67"/>
      <c r="B2282" s="67"/>
      <c r="C2282" s="67"/>
      <c r="D2282" s="67"/>
      <c r="E2282" s="67"/>
    </row>
    <row r="2283" spans="1:5" ht="14.25">
      <c r="A2283" s="67"/>
      <c r="B2283" s="67"/>
      <c r="C2283" s="67"/>
      <c r="D2283" s="67"/>
      <c r="E2283" s="67"/>
    </row>
    <row r="2284" spans="1:5" ht="14.25">
      <c r="A2284" s="67"/>
      <c r="B2284" s="67"/>
      <c r="C2284" s="67"/>
      <c r="D2284" s="67"/>
      <c r="E2284" s="67"/>
    </row>
    <row r="2285" spans="1:5" ht="14.25">
      <c r="A2285" s="67"/>
      <c r="B2285" s="67"/>
      <c r="C2285" s="67"/>
      <c r="D2285" s="67"/>
      <c r="E2285" s="67"/>
    </row>
    <row r="2286" spans="1:5" ht="14.25">
      <c r="A2286" s="67"/>
      <c r="B2286" s="67"/>
      <c r="C2286" s="67"/>
      <c r="D2286" s="67"/>
      <c r="E2286" s="67"/>
    </row>
    <row r="2287" spans="1:5" ht="14.25">
      <c r="A2287" s="67"/>
      <c r="B2287" s="67"/>
      <c r="C2287" s="67"/>
      <c r="D2287" s="67"/>
      <c r="E2287" s="67"/>
    </row>
    <row r="2288" spans="1:5" ht="14.25">
      <c r="A2288" s="67"/>
      <c r="B2288" s="67"/>
      <c r="C2288" s="67"/>
      <c r="D2288" s="67"/>
      <c r="E2288" s="67"/>
    </row>
    <row r="2289" spans="1:5" ht="14.25">
      <c r="A2289" s="67"/>
      <c r="B2289" s="67"/>
      <c r="C2289" s="67"/>
      <c r="D2289" s="67"/>
      <c r="E2289" s="67"/>
    </row>
    <row r="2290" spans="1:5" ht="14.25">
      <c r="A2290" s="67"/>
      <c r="B2290" s="67"/>
      <c r="C2290" s="67"/>
      <c r="D2290" s="67"/>
      <c r="E2290" s="67"/>
    </row>
    <row r="2291" spans="1:5" ht="14.25">
      <c r="A2291" s="67"/>
      <c r="B2291" s="67"/>
      <c r="C2291" s="67"/>
      <c r="D2291" s="67"/>
      <c r="E2291" s="67"/>
    </row>
    <row r="2292" spans="1:5" ht="14.25">
      <c r="A2292" s="67"/>
      <c r="B2292" s="67"/>
      <c r="C2292" s="67"/>
      <c r="D2292" s="67"/>
      <c r="E2292" s="67"/>
    </row>
    <row r="2293" spans="1:5" ht="14.25">
      <c r="A2293" s="67"/>
      <c r="B2293" s="67"/>
      <c r="C2293" s="67"/>
      <c r="D2293" s="67"/>
      <c r="E2293" s="67"/>
    </row>
    <row r="2294" spans="1:5" ht="14.25">
      <c r="A2294" s="67"/>
      <c r="B2294" s="67"/>
      <c r="C2294" s="67"/>
      <c r="D2294" s="67"/>
      <c r="E2294" s="67"/>
    </row>
    <row r="2295" spans="1:5" ht="14.25">
      <c r="A2295" s="67"/>
      <c r="B2295" s="67"/>
      <c r="C2295" s="67"/>
      <c r="D2295" s="67"/>
      <c r="E2295" s="67"/>
    </row>
    <row r="2296" spans="1:5" ht="14.25">
      <c r="A2296" s="67"/>
      <c r="B2296" s="67"/>
      <c r="C2296" s="67"/>
      <c r="D2296" s="67"/>
      <c r="E2296" s="67"/>
    </row>
    <row r="2297" spans="1:5" ht="14.25">
      <c r="A2297" s="67"/>
      <c r="B2297" s="67"/>
      <c r="C2297" s="67"/>
      <c r="D2297" s="67"/>
      <c r="E2297" s="67"/>
    </row>
    <row r="2298" spans="1:5" ht="14.25">
      <c r="A2298" s="67"/>
      <c r="B2298" s="67"/>
      <c r="C2298" s="67"/>
      <c r="D2298" s="67"/>
      <c r="E2298" s="67"/>
    </row>
    <row r="2299" spans="1:5" ht="14.25">
      <c r="A2299" s="67"/>
      <c r="B2299" s="67"/>
      <c r="C2299" s="67"/>
      <c r="D2299" s="67"/>
      <c r="E2299" s="67"/>
    </row>
    <row r="2300" spans="1:5" ht="14.25">
      <c r="A2300" s="67"/>
      <c r="B2300" s="67"/>
      <c r="C2300" s="67"/>
      <c r="D2300" s="67"/>
      <c r="E2300" s="67"/>
    </row>
    <row r="2301" spans="1:5" ht="14.25">
      <c r="A2301" s="67"/>
      <c r="B2301" s="67"/>
      <c r="C2301" s="67"/>
      <c r="D2301" s="67"/>
      <c r="E2301" s="67"/>
    </row>
    <row r="2302" spans="1:5" ht="14.25">
      <c r="A2302" s="67"/>
      <c r="B2302" s="67"/>
      <c r="C2302" s="67"/>
      <c r="D2302" s="67"/>
      <c r="E2302" s="67"/>
    </row>
    <row r="2303" spans="1:5" ht="14.25">
      <c r="A2303" s="67"/>
      <c r="B2303" s="67"/>
      <c r="C2303" s="67"/>
      <c r="D2303" s="67"/>
      <c r="E2303" s="67"/>
    </row>
    <row r="2304" spans="1:5" ht="14.25">
      <c r="A2304" s="67"/>
      <c r="B2304" s="67"/>
      <c r="C2304" s="67"/>
      <c r="D2304" s="67"/>
      <c r="E2304" s="67"/>
    </row>
    <row r="2305" spans="1:5" ht="14.25">
      <c r="A2305" s="67"/>
      <c r="B2305" s="67"/>
      <c r="C2305" s="67"/>
      <c r="D2305" s="67"/>
      <c r="E2305" s="67"/>
    </row>
    <row r="2306" spans="1:5" ht="14.25">
      <c r="A2306" s="67"/>
      <c r="B2306" s="67"/>
      <c r="C2306" s="67"/>
      <c r="D2306" s="67"/>
      <c r="E2306" s="67"/>
    </row>
    <row r="2307" spans="1:5" ht="14.25">
      <c r="A2307" s="67"/>
      <c r="B2307" s="67"/>
      <c r="C2307" s="67"/>
      <c r="D2307" s="67"/>
      <c r="E2307" s="67"/>
    </row>
    <row r="2308" spans="1:5" ht="14.25">
      <c r="A2308" s="67"/>
      <c r="B2308" s="67"/>
      <c r="C2308" s="67"/>
      <c r="D2308" s="67"/>
      <c r="E2308" s="67"/>
    </row>
    <row r="2309" spans="1:5" ht="14.25">
      <c r="A2309" s="67"/>
      <c r="B2309" s="67"/>
      <c r="C2309" s="67"/>
      <c r="D2309" s="67"/>
      <c r="E2309" s="67"/>
    </row>
    <row r="2310" spans="1:5" ht="14.25">
      <c r="A2310" s="67"/>
      <c r="B2310" s="67"/>
      <c r="C2310" s="67"/>
      <c r="D2310" s="67"/>
      <c r="E2310" s="67"/>
    </row>
    <row r="2311" spans="1:5" ht="14.25">
      <c r="A2311" s="67"/>
      <c r="B2311" s="67"/>
      <c r="C2311" s="67"/>
      <c r="D2311" s="67"/>
      <c r="E2311" s="67"/>
    </row>
    <row r="2312" spans="1:5" ht="14.25">
      <c r="A2312" s="67"/>
      <c r="B2312" s="67"/>
      <c r="C2312" s="67"/>
      <c r="D2312" s="67"/>
      <c r="E2312" s="67"/>
    </row>
    <row r="2313" spans="1:5" ht="14.25">
      <c r="A2313" s="67"/>
      <c r="B2313" s="67"/>
      <c r="C2313" s="67"/>
      <c r="D2313" s="67"/>
      <c r="E2313" s="67"/>
    </row>
    <row r="2314" spans="1:5" ht="14.25">
      <c r="A2314" s="67"/>
      <c r="B2314" s="67"/>
      <c r="C2314" s="67"/>
      <c r="D2314" s="67"/>
      <c r="E2314" s="67"/>
    </row>
    <row r="2315" spans="1:5" ht="14.25">
      <c r="A2315" s="67"/>
      <c r="B2315" s="67"/>
      <c r="C2315" s="67"/>
      <c r="D2315" s="67"/>
      <c r="E2315" s="67"/>
    </row>
    <row r="2316" spans="1:5" ht="14.25">
      <c r="A2316" s="67"/>
      <c r="B2316" s="67"/>
      <c r="C2316" s="67"/>
      <c r="D2316" s="67"/>
      <c r="E2316" s="67"/>
    </row>
    <row r="2317" spans="1:5" ht="14.25">
      <c r="A2317" s="67"/>
      <c r="B2317" s="67"/>
      <c r="C2317" s="67"/>
      <c r="D2317" s="67"/>
      <c r="E2317" s="67"/>
    </row>
    <row r="2318" spans="1:5" ht="14.25">
      <c r="A2318" s="67"/>
      <c r="B2318" s="67"/>
      <c r="C2318" s="67"/>
      <c r="D2318" s="67"/>
      <c r="E2318" s="67"/>
    </row>
    <row r="2319" spans="1:5" ht="14.25">
      <c r="A2319" s="67"/>
      <c r="B2319" s="67"/>
      <c r="C2319" s="67"/>
      <c r="D2319" s="67"/>
      <c r="E2319" s="67"/>
    </row>
    <row r="2320" spans="1:5" ht="14.25">
      <c r="A2320" s="67"/>
      <c r="B2320" s="67"/>
      <c r="C2320" s="67"/>
      <c r="D2320" s="67"/>
      <c r="E2320" s="67"/>
    </row>
    <row r="2321" spans="1:5" ht="14.25">
      <c r="A2321" s="67"/>
      <c r="B2321" s="67"/>
      <c r="C2321" s="67"/>
      <c r="D2321" s="67"/>
      <c r="E2321" s="67"/>
    </row>
    <row r="2322" spans="1:5" ht="14.25">
      <c r="A2322" s="67"/>
      <c r="B2322" s="67"/>
      <c r="C2322" s="67"/>
      <c r="D2322" s="67"/>
      <c r="E2322" s="67"/>
    </row>
    <row r="2323" spans="1:5" ht="14.25">
      <c r="A2323" s="67"/>
      <c r="B2323" s="67"/>
      <c r="C2323" s="67"/>
      <c r="D2323" s="67"/>
      <c r="E2323" s="67"/>
    </row>
    <row r="2324" spans="1:5" ht="14.25">
      <c r="A2324" s="67"/>
      <c r="B2324" s="67"/>
      <c r="C2324" s="67"/>
      <c r="D2324" s="67"/>
      <c r="E2324" s="67"/>
    </row>
    <row r="2325" spans="1:5" ht="14.25">
      <c r="A2325" s="67"/>
      <c r="B2325" s="67"/>
      <c r="C2325" s="67"/>
      <c r="D2325" s="67"/>
      <c r="E2325" s="67"/>
    </row>
    <row r="2326" spans="1:5" ht="14.25">
      <c r="A2326" s="67"/>
      <c r="B2326" s="67"/>
      <c r="C2326" s="67"/>
      <c r="D2326" s="67"/>
      <c r="E2326" s="67"/>
    </row>
    <row r="2327" spans="1:5" ht="14.25">
      <c r="A2327" s="67"/>
      <c r="B2327" s="67"/>
      <c r="C2327" s="67"/>
      <c r="D2327" s="67"/>
      <c r="E2327" s="67"/>
    </row>
    <row r="2328" spans="1:5" ht="14.25">
      <c r="A2328" s="67"/>
      <c r="B2328" s="67"/>
      <c r="C2328" s="67"/>
      <c r="D2328" s="67"/>
      <c r="E2328" s="67"/>
    </row>
    <row r="2329" spans="1:5" ht="14.25">
      <c r="A2329" s="67"/>
      <c r="B2329" s="67"/>
      <c r="C2329" s="67"/>
      <c r="D2329" s="67"/>
      <c r="E2329" s="67"/>
    </row>
    <row r="2330" spans="1:5" ht="14.25">
      <c r="A2330" s="67"/>
      <c r="B2330" s="67"/>
      <c r="C2330" s="67"/>
      <c r="D2330" s="67"/>
      <c r="E2330" s="67"/>
    </row>
    <row r="2331" spans="1:5" ht="14.25">
      <c r="A2331" s="67"/>
      <c r="B2331" s="67"/>
      <c r="C2331" s="67"/>
      <c r="D2331" s="67"/>
      <c r="E2331" s="67"/>
    </row>
    <row r="2332" spans="1:5" ht="14.25">
      <c r="A2332" s="67"/>
      <c r="B2332" s="67"/>
      <c r="C2332" s="67"/>
      <c r="D2332" s="67"/>
      <c r="E2332" s="67"/>
    </row>
    <row r="2333" spans="1:5" ht="14.25">
      <c r="A2333" s="67"/>
      <c r="B2333" s="67"/>
      <c r="C2333" s="67"/>
      <c r="D2333" s="67"/>
      <c r="E2333" s="67"/>
    </row>
    <row r="2334" spans="1:5" ht="14.25">
      <c r="A2334" s="67"/>
      <c r="B2334" s="67"/>
      <c r="C2334" s="67"/>
      <c r="D2334" s="67"/>
      <c r="E2334" s="67"/>
    </row>
    <row r="2335" spans="1:5" ht="14.25">
      <c r="A2335" s="67"/>
      <c r="B2335" s="67"/>
      <c r="C2335" s="67"/>
      <c r="D2335" s="67"/>
      <c r="E2335" s="67"/>
    </row>
    <row r="2336" spans="1:5" ht="14.25">
      <c r="A2336" s="67"/>
      <c r="B2336" s="67"/>
      <c r="C2336" s="67"/>
      <c r="D2336" s="67"/>
      <c r="E2336" s="67"/>
    </row>
    <row r="2337" spans="1:5" ht="14.25">
      <c r="A2337" s="67"/>
      <c r="B2337" s="67"/>
      <c r="C2337" s="67"/>
      <c r="D2337" s="67"/>
      <c r="E2337" s="67"/>
    </row>
    <row r="2338" spans="1:5" ht="14.25">
      <c r="A2338" s="67"/>
      <c r="B2338" s="67"/>
      <c r="C2338" s="67"/>
      <c r="D2338" s="67"/>
      <c r="E2338" s="67"/>
    </row>
    <row r="2339" spans="1:5" ht="14.25">
      <c r="A2339" s="67"/>
      <c r="B2339" s="67"/>
      <c r="C2339" s="67"/>
      <c r="D2339" s="67"/>
      <c r="E2339" s="67"/>
    </row>
    <row r="2340" spans="1:5" ht="14.25">
      <c r="A2340" s="67"/>
      <c r="B2340" s="67"/>
      <c r="C2340" s="67"/>
      <c r="D2340" s="67"/>
      <c r="E2340" s="67"/>
    </row>
    <row r="2341" spans="1:5" ht="14.25">
      <c r="A2341" s="67"/>
      <c r="B2341" s="67"/>
      <c r="C2341" s="67"/>
      <c r="D2341" s="67"/>
      <c r="E2341" s="67"/>
    </row>
    <row r="2342" spans="1:5" ht="14.25">
      <c r="A2342" s="67"/>
      <c r="B2342" s="67"/>
      <c r="C2342" s="67"/>
      <c r="D2342" s="67"/>
      <c r="E2342" s="67"/>
    </row>
    <row r="2343" spans="1:5" ht="14.25">
      <c r="A2343" s="67"/>
      <c r="B2343" s="67"/>
      <c r="C2343" s="67"/>
      <c r="D2343" s="67"/>
      <c r="E2343" s="67"/>
    </row>
    <row r="2344" spans="1:5" ht="14.25">
      <c r="A2344" s="67"/>
      <c r="B2344" s="67"/>
      <c r="C2344" s="67"/>
      <c r="D2344" s="67"/>
      <c r="E2344" s="67"/>
    </row>
    <row r="2345" spans="1:5" ht="14.25">
      <c r="A2345" s="67"/>
      <c r="B2345" s="67"/>
      <c r="C2345" s="67"/>
      <c r="D2345" s="67"/>
      <c r="E2345" s="67"/>
    </row>
    <row r="2346" spans="1:5" ht="14.25">
      <c r="A2346" s="67"/>
      <c r="B2346" s="67"/>
      <c r="C2346" s="67"/>
      <c r="D2346" s="67"/>
      <c r="E2346" s="67"/>
    </row>
    <row r="2347" spans="1:5" ht="14.25">
      <c r="A2347" s="67"/>
      <c r="B2347" s="67"/>
      <c r="C2347" s="67"/>
      <c r="D2347" s="67"/>
      <c r="E2347" s="67"/>
    </row>
    <row r="2348" spans="1:5" ht="14.25">
      <c r="A2348" s="67"/>
      <c r="B2348" s="67"/>
      <c r="C2348" s="67"/>
      <c r="D2348" s="67"/>
      <c r="E2348" s="67"/>
    </row>
    <row r="2349" spans="1:5" ht="14.25">
      <c r="A2349" s="67"/>
      <c r="B2349" s="67"/>
      <c r="C2349" s="67"/>
      <c r="D2349" s="67"/>
      <c r="E2349" s="67"/>
    </row>
    <row r="2350" spans="1:5" ht="14.25">
      <c r="A2350" s="67"/>
      <c r="B2350" s="67"/>
      <c r="C2350" s="67"/>
      <c r="D2350" s="67"/>
      <c r="E2350" s="67"/>
    </row>
    <row r="2351" spans="1:5" ht="14.25">
      <c r="A2351" s="67"/>
      <c r="B2351" s="67"/>
      <c r="C2351" s="67"/>
      <c r="D2351" s="67"/>
      <c r="E2351" s="67"/>
    </row>
    <row r="2352" spans="1:5" ht="14.25">
      <c r="A2352" s="67"/>
      <c r="B2352" s="67"/>
      <c r="C2352" s="67"/>
      <c r="D2352" s="67"/>
      <c r="E2352" s="67"/>
    </row>
    <row r="2353" spans="1:5" ht="14.25">
      <c r="A2353" s="67"/>
      <c r="B2353" s="67"/>
      <c r="C2353" s="67"/>
      <c r="D2353" s="67"/>
      <c r="E2353" s="67"/>
    </row>
    <row r="2354" spans="1:5" ht="14.25">
      <c r="A2354" s="67"/>
      <c r="B2354" s="67"/>
      <c r="C2354" s="67"/>
      <c r="D2354" s="67"/>
      <c r="E2354" s="67"/>
    </row>
    <row r="2355" spans="1:5" ht="14.25">
      <c r="A2355" s="67"/>
      <c r="B2355" s="67"/>
      <c r="C2355" s="67"/>
      <c r="D2355" s="67"/>
      <c r="E2355" s="67"/>
    </row>
    <row r="2356" spans="1:5" ht="14.25">
      <c r="A2356" s="67"/>
      <c r="B2356" s="67"/>
      <c r="C2356" s="67"/>
      <c r="D2356" s="67"/>
      <c r="E2356" s="67"/>
    </row>
    <row r="2357" spans="1:5" ht="14.25">
      <c r="A2357" s="67"/>
      <c r="B2357" s="67"/>
      <c r="C2357" s="67"/>
      <c r="D2357" s="67"/>
      <c r="E2357" s="67"/>
    </row>
    <row r="2358" spans="1:5" ht="14.25">
      <c r="A2358" s="67"/>
      <c r="B2358" s="67"/>
      <c r="C2358" s="67"/>
      <c r="D2358" s="67"/>
      <c r="E2358" s="67"/>
    </row>
    <row r="2359" spans="1:5" ht="14.25">
      <c r="A2359" s="67"/>
      <c r="B2359" s="67"/>
      <c r="C2359" s="67"/>
      <c r="D2359" s="67"/>
      <c r="E2359" s="67"/>
    </row>
    <row r="2360" spans="1:5" ht="14.25">
      <c r="A2360" s="67"/>
      <c r="B2360" s="67"/>
      <c r="C2360" s="67"/>
      <c r="D2360" s="67"/>
      <c r="E2360" s="67"/>
    </row>
    <row r="2361" spans="1:5" ht="14.25">
      <c r="A2361" s="67"/>
      <c r="B2361" s="67"/>
      <c r="C2361" s="67"/>
      <c r="D2361" s="67"/>
      <c r="E2361" s="67"/>
    </row>
    <row r="2362" spans="1:5" ht="14.25">
      <c r="A2362" s="67"/>
      <c r="B2362" s="67"/>
      <c r="C2362" s="67"/>
      <c r="D2362" s="67"/>
      <c r="E2362" s="67"/>
    </row>
    <row r="2363" spans="1:5" ht="14.25">
      <c r="A2363" s="67"/>
      <c r="B2363" s="67"/>
      <c r="C2363" s="67"/>
      <c r="D2363" s="67"/>
      <c r="E2363" s="67"/>
    </row>
    <row r="2364" spans="1:5" ht="14.25">
      <c r="A2364" s="67"/>
      <c r="B2364" s="67"/>
      <c r="C2364" s="67"/>
      <c r="D2364" s="67"/>
      <c r="E2364" s="67"/>
    </row>
    <row r="2365" spans="1:5" ht="14.25">
      <c r="A2365" s="67"/>
      <c r="B2365" s="67"/>
      <c r="C2365" s="67"/>
      <c r="D2365" s="67"/>
      <c r="E2365" s="67"/>
    </row>
    <row r="2366" spans="1:5" ht="14.25">
      <c r="A2366" s="67"/>
      <c r="B2366" s="67"/>
      <c r="C2366" s="67"/>
      <c r="D2366" s="67"/>
      <c r="E2366" s="67"/>
    </row>
    <row r="2367" spans="1:5" ht="14.25">
      <c r="A2367" s="67"/>
      <c r="B2367" s="67"/>
      <c r="C2367" s="67"/>
      <c r="D2367" s="67"/>
      <c r="E2367" s="67"/>
    </row>
    <row r="2368" spans="1:5" ht="14.25">
      <c r="A2368" s="67"/>
      <c r="B2368" s="67"/>
      <c r="C2368" s="67"/>
      <c r="D2368" s="67"/>
      <c r="E2368" s="67"/>
    </row>
    <row r="2369" spans="1:5" ht="14.25">
      <c r="A2369" s="67"/>
      <c r="B2369" s="67"/>
      <c r="C2369" s="67"/>
      <c r="D2369" s="67"/>
      <c r="E2369" s="67"/>
    </row>
    <row r="2370" spans="1:5" ht="14.25">
      <c r="A2370" s="67"/>
      <c r="B2370" s="67"/>
      <c r="C2370" s="67"/>
      <c r="D2370" s="67"/>
      <c r="E2370" s="67"/>
    </row>
    <row r="2371" spans="1:5" ht="14.25">
      <c r="A2371" s="67"/>
      <c r="B2371" s="67"/>
      <c r="C2371" s="67"/>
      <c r="D2371" s="67"/>
      <c r="E2371" s="67"/>
    </row>
    <row r="2372" spans="1:5" ht="14.25">
      <c r="A2372" s="67"/>
      <c r="B2372" s="67"/>
      <c r="C2372" s="67"/>
      <c r="D2372" s="67"/>
      <c r="E2372" s="67"/>
    </row>
    <row r="2373" spans="1:5" ht="14.25">
      <c r="A2373" s="67"/>
      <c r="B2373" s="67"/>
      <c r="C2373" s="67"/>
      <c r="D2373" s="67"/>
      <c r="E2373" s="67"/>
    </row>
    <row r="2374" spans="1:5" ht="14.25">
      <c r="A2374" s="67"/>
      <c r="B2374" s="67"/>
      <c r="C2374" s="67"/>
      <c r="D2374" s="67"/>
      <c r="E2374" s="67"/>
    </row>
    <row r="2375" spans="1:5" ht="14.25">
      <c r="A2375" s="67"/>
      <c r="B2375" s="67"/>
      <c r="C2375" s="67"/>
      <c r="D2375" s="67"/>
      <c r="E2375" s="67"/>
    </row>
    <row r="2376" spans="1:5" ht="14.25">
      <c r="A2376" s="67"/>
      <c r="B2376" s="67"/>
      <c r="C2376" s="67"/>
      <c r="D2376" s="67"/>
      <c r="E2376" s="67"/>
    </row>
    <row r="2377" spans="1:5" ht="14.25">
      <c r="A2377" s="67"/>
      <c r="B2377" s="67"/>
      <c r="C2377" s="67"/>
      <c r="D2377" s="67"/>
      <c r="E2377" s="67"/>
    </row>
    <row r="2378" spans="1:5" ht="14.25">
      <c r="A2378" s="67"/>
      <c r="B2378" s="67"/>
      <c r="C2378" s="67"/>
      <c r="D2378" s="67"/>
      <c r="E2378" s="67"/>
    </row>
    <row r="2379" spans="1:5" ht="14.25">
      <c r="A2379" s="67"/>
      <c r="B2379" s="67"/>
      <c r="C2379" s="67"/>
      <c r="D2379" s="67"/>
      <c r="E2379" s="67"/>
    </row>
    <row r="2380" spans="1:5" ht="14.25">
      <c r="A2380" s="67"/>
      <c r="B2380" s="67"/>
      <c r="C2380" s="67"/>
      <c r="D2380" s="67"/>
      <c r="E2380" s="67"/>
    </row>
    <row r="2381" spans="1:5" ht="14.25">
      <c r="A2381" s="67"/>
      <c r="B2381" s="67"/>
      <c r="C2381" s="67"/>
      <c r="D2381" s="67"/>
      <c r="E2381" s="67"/>
    </row>
    <row r="2382" spans="1:5" ht="14.25">
      <c r="A2382" s="67"/>
      <c r="B2382" s="67"/>
      <c r="C2382" s="67"/>
      <c r="D2382" s="67"/>
      <c r="E2382" s="67"/>
    </row>
    <row r="2383" spans="1:5" ht="14.25">
      <c r="A2383" s="67"/>
      <c r="B2383" s="67"/>
      <c r="C2383" s="67"/>
      <c r="D2383" s="67"/>
      <c r="E2383" s="67"/>
    </row>
    <row r="2384" spans="1:5" ht="14.25">
      <c r="A2384" s="67"/>
      <c r="B2384" s="67"/>
      <c r="C2384" s="67"/>
      <c r="D2384" s="67"/>
      <c r="E2384" s="67"/>
    </row>
    <row r="2385" spans="1:5" ht="14.25">
      <c r="A2385" s="67"/>
      <c r="B2385" s="67"/>
      <c r="C2385" s="67"/>
      <c r="D2385" s="67"/>
      <c r="E2385" s="67"/>
    </row>
    <row r="2386" spans="1:5" ht="14.25">
      <c r="A2386" s="67"/>
      <c r="B2386" s="67"/>
      <c r="C2386" s="67"/>
      <c r="D2386" s="67"/>
      <c r="E2386" s="67"/>
    </row>
    <row r="2387" spans="1:5" ht="14.25">
      <c r="A2387" s="67"/>
      <c r="B2387" s="67"/>
      <c r="C2387" s="67"/>
      <c r="D2387" s="67"/>
      <c r="E2387" s="67"/>
    </row>
    <row r="2388" spans="1:5" ht="14.25">
      <c r="A2388" s="67"/>
      <c r="B2388" s="67"/>
      <c r="C2388" s="67"/>
      <c r="D2388" s="67"/>
      <c r="E2388" s="67"/>
    </row>
    <row r="2389" spans="1:5" ht="14.25">
      <c r="A2389" s="67"/>
      <c r="B2389" s="67"/>
      <c r="C2389" s="67"/>
      <c r="D2389" s="67"/>
      <c r="E2389" s="67"/>
    </row>
    <row r="2390" spans="1:5" ht="14.25">
      <c r="A2390" s="67"/>
      <c r="B2390" s="67"/>
      <c r="C2390" s="67"/>
      <c r="D2390" s="67"/>
      <c r="E2390" s="67"/>
    </row>
    <row r="2391" spans="1:5" ht="14.25">
      <c r="A2391" s="67"/>
      <c r="B2391" s="67"/>
      <c r="C2391" s="67"/>
      <c r="D2391" s="67"/>
      <c r="E2391" s="67"/>
    </row>
    <row r="2392" spans="1:5" ht="14.25">
      <c r="A2392" s="67"/>
      <c r="B2392" s="67"/>
      <c r="C2392" s="67"/>
      <c r="D2392" s="67"/>
      <c r="E2392" s="67"/>
    </row>
    <row r="2393" spans="1:5" ht="14.25">
      <c r="A2393" s="67"/>
      <c r="B2393" s="67"/>
      <c r="C2393" s="67"/>
      <c r="D2393" s="67"/>
      <c r="E2393" s="67"/>
    </row>
    <row r="2394" spans="1:5" ht="14.25">
      <c r="A2394" s="67"/>
      <c r="B2394" s="67"/>
      <c r="C2394" s="67"/>
      <c r="D2394" s="67"/>
      <c r="E2394" s="67"/>
    </row>
    <row r="2395" spans="1:5" ht="14.25">
      <c r="A2395" s="67"/>
      <c r="B2395" s="67"/>
      <c r="C2395" s="67"/>
      <c r="D2395" s="67"/>
      <c r="E2395" s="67"/>
    </row>
    <row r="2396" spans="1:5" ht="14.25">
      <c r="A2396" s="67"/>
      <c r="B2396" s="67"/>
      <c r="C2396" s="67"/>
      <c r="D2396" s="67"/>
      <c r="E2396" s="67"/>
    </row>
    <row r="2397" spans="1:5" ht="14.25">
      <c r="A2397" s="67"/>
      <c r="B2397" s="67"/>
      <c r="C2397" s="67"/>
      <c r="D2397" s="67"/>
      <c r="E2397" s="67"/>
    </row>
    <row r="2398" spans="1:5" ht="14.25">
      <c r="A2398" s="67"/>
      <c r="B2398" s="67"/>
      <c r="C2398" s="67"/>
      <c r="D2398" s="67"/>
      <c r="E2398" s="67"/>
    </row>
    <row r="2399" spans="1:5" ht="14.25">
      <c r="A2399" s="67"/>
      <c r="B2399" s="67"/>
      <c r="C2399" s="67"/>
      <c r="D2399" s="67"/>
      <c r="E2399" s="67"/>
    </row>
    <row r="2400" spans="1:5" ht="14.25">
      <c r="A2400" s="67"/>
      <c r="B2400" s="67"/>
      <c r="C2400" s="67"/>
      <c r="D2400" s="67"/>
      <c r="E2400" s="67"/>
    </row>
    <row r="2401" spans="1:5" ht="14.25">
      <c r="A2401" s="67"/>
      <c r="B2401" s="67"/>
      <c r="C2401" s="67"/>
      <c r="D2401" s="67"/>
      <c r="E2401" s="67"/>
    </row>
    <row r="2402" spans="1:5" ht="14.25">
      <c r="A2402" s="67"/>
      <c r="B2402" s="67"/>
      <c r="C2402" s="67"/>
      <c r="D2402" s="67"/>
      <c r="E2402" s="67"/>
    </row>
    <row r="2403" spans="1:5" ht="14.25">
      <c r="A2403" s="67"/>
      <c r="B2403" s="67"/>
      <c r="C2403" s="67"/>
      <c r="D2403" s="67"/>
      <c r="E2403" s="67"/>
    </row>
    <row r="2404" spans="1:5" ht="14.25">
      <c r="A2404" s="67"/>
      <c r="B2404" s="67"/>
      <c r="C2404" s="67"/>
      <c r="D2404" s="67"/>
      <c r="E2404" s="67"/>
    </row>
    <row r="2405" spans="1:5" ht="14.25">
      <c r="A2405" s="67"/>
      <c r="B2405" s="67"/>
      <c r="C2405" s="67"/>
      <c r="D2405" s="67"/>
      <c r="E2405" s="67"/>
    </row>
    <row r="2406" spans="1:5" ht="14.25">
      <c r="A2406" s="67"/>
      <c r="B2406" s="67"/>
      <c r="C2406" s="67"/>
      <c r="D2406" s="67"/>
      <c r="E2406" s="67"/>
    </row>
    <row r="2407" spans="1:5" ht="14.25">
      <c r="A2407" s="67"/>
      <c r="B2407" s="67"/>
      <c r="C2407" s="67"/>
      <c r="D2407" s="67"/>
      <c r="E2407" s="67"/>
    </row>
    <row r="2408" spans="1:5" ht="14.25">
      <c r="A2408" s="67"/>
      <c r="B2408" s="67"/>
      <c r="C2408" s="67"/>
      <c r="D2408" s="67"/>
      <c r="E2408" s="67"/>
    </row>
    <row r="2409" spans="1:5" ht="14.25">
      <c r="A2409" s="67"/>
      <c r="B2409" s="67"/>
      <c r="C2409" s="67"/>
      <c r="D2409" s="67"/>
      <c r="E2409" s="67"/>
    </row>
    <row r="2410" spans="1:5" ht="14.25">
      <c r="A2410" s="67"/>
      <c r="B2410" s="67"/>
      <c r="C2410" s="67"/>
      <c r="D2410" s="67"/>
      <c r="E2410" s="67"/>
    </row>
    <row r="2411" spans="1:5" ht="14.25">
      <c r="A2411" s="67"/>
      <c r="B2411" s="67"/>
      <c r="C2411" s="67"/>
      <c r="D2411" s="67"/>
      <c r="E2411" s="67"/>
    </row>
    <row r="2412" spans="1:5" ht="14.25">
      <c r="A2412" s="67"/>
      <c r="B2412" s="67"/>
      <c r="C2412" s="67"/>
      <c r="D2412" s="67"/>
      <c r="E2412" s="67"/>
    </row>
    <row r="2413" spans="1:5" ht="14.25">
      <c r="A2413" s="67"/>
      <c r="B2413" s="67"/>
      <c r="C2413" s="67"/>
      <c r="D2413" s="67"/>
      <c r="E2413" s="67"/>
    </row>
    <row r="2414" spans="1:5" ht="14.25">
      <c r="A2414" s="67"/>
      <c r="B2414" s="67"/>
      <c r="C2414" s="67"/>
      <c r="D2414" s="67"/>
      <c r="E2414" s="67"/>
    </row>
    <row r="2415" spans="1:5" ht="14.25">
      <c r="A2415" s="67"/>
      <c r="B2415" s="67"/>
      <c r="C2415" s="67"/>
      <c r="D2415" s="67"/>
      <c r="E2415" s="67"/>
    </row>
    <row r="2416" spans="1:5" ht="14.25">
      <c r="A2416" s="67"/>
      <c r="B2416" s="67"/>
      <c r="C2416" s="67"/>
      <c r="D2416" s="67"/>
      <c r="E2416" s="67"/>
    </row>
    <row r="2417" spans="1:5" ht="14.25">
      <c r="A2417" s="67"/>
      <c r="B2417" s="67"/>
      <c r="C2417" s="67"/>
      <c r="D2417" s="67"/>
      <c r="E2417" s="67"/>
    </row>
    <row r="2418" spans="1:5" ht="14.25">
      <c r="A2418" s="67"/>
      <c r="B2418" s="67"/>
      <c r="C2418" s="67"/>
      <c r="D2418" s="67"/>
      <c r="E2418" s="67"/>
    </row>
    <row r="2419" spans="1:5" ht="14.25">
      <c r="A2419" s="67"/>
      <c r="B2419" s="67"/>
      <c r="C2419" s="67"/>
      <c r="D2419" s="67"/>
      <c r="E2419" s="67"/>
    </row>
    <row r="2420" spans="1:5" ht="14.25">
      <c r="A2420" s="67"/>
      <c r="B2420" s="67"/>
      <c r="C2420" s="67"/>
      <c r="D2420" s="67"/>
      <c r="E2420" s="67"/>
    </row>
    <row r="2421" spans="1:5" ht="14.25">
      <c r="A2421" s="67"/>
      <c r="B2421" s="67"/>
      <c r="C2421" s="67"/>
      <c r="D2421" s="67"/>
      <c r="E2421" s="67"/>
    </row>
    <row r="2422" spans="1:5" ht="14.25">
      <c r="A2422" s="67"/>
      <c r="B2422" s="67"/>
      <c r="C2422" s="67"/>
      <c r="D2422" s="67"/>
      <c r="E2422" s="67"/>
    </row>
    <row r="2423" spans="1:5" ht="14.25">
      <c r="A2423" s="67"/>
      <c r="B2423" s="67"/>
      <c r="C2423" s="67"/>
      <c r="D2423" s="67"/>
      <c r="E2423" s="67"/>
    </row>
    <row r="2424" spans="1:5" ht="14.25">
      <c r="A2424" s="67"/>
      <c r="B2424" s="67"/>
      <c r="C2424" s="67"/>
      <c r="D2424" s="67"/>
      <c r="E2424" s="67"/>
    </row>
    <row r="2425" spans="1:5" ht="14.25">
      <c r="A2425" s="67"/>
      <c r="B2425" s="67"/>
      <c r="C2425" s="67"/>
      <c r="D2425" s="67"/>
      <c r="E2425" s="67"/>
    </row>
    <row r="2426" spans="1:5" ht="14.25">
      <c r="A2426" s="67"/>
      <c r="B2426" s="67"/>
      <c r="C2426" s="67"/>
      <c r="D2426" s="67"/>
      <c r="E2426" s="67"/>
    </row>
    <row r="2427" spans="1:5" ht="14.25">
      <c r="A2427" s="67"/>
      <c r="B2427" s="67"/>
      <c r="C2427" s="67"/>
      <c r="D2427" s="67"/>
      <c r="E2427" s="67"/>
    </row>
    <row r="2428" spans="1:5" ht="14.25">
      <c r="A2428" s="67"/>
      <c r="B2428" s="67"/>
      <c r="C2428" s="67"/>
      <c r="D2428" s="67"/>
      <c r="E2428" s="67"/>
    </row>
    <row r="2429" spans="1:5" ht="14.25">
      <c r="A2429" s="67"/>
      <c r="B2429" s="67"/>
      <c r="C2429" s="67"/>
      <c r="D2429" s="67"/>
      <c r="E2429" s="67"/>
    </row>
    <row r="2430" spans="1:5" ht="14.25">
      <c r="A2430" s="67"/>
      <c r="B2430" s="67"/>
      <c r="C2430" s="67"/>
      <c r="D2430" s="67"/>
      <c r="E2430" s="67"/>
    </row>
    <row r="2431" spans="1:5" ht="14.25">
      <c r="A2431" s="67"/>
      <c r="B2431" s="67"/>
      <c r="C2431" s="67"/>
      <c r="D2431" s="67"/>
      <c r="E2431" s="67"/>
    </row>
    <row r="2432" spans="1:5" ht="14.25">
      <c r="A2432" s="67"/>
      <c r="B2432" s="67"/>
      <c r="C2432" s="67"/>
      <c r="D2432" s="67"/>
      <c r="E2432" s="67"/>
    </row>
    <row r="2433" spans="1:5" ht="14.25">
      <c r="A2433" s="67"/>
      <c r="B2433" s="67"/>
      <c r="C2433" s="67"/>
      <c r="D2433" s="67"/>
      <c r="E2433" s="67"/>
    </row>
    <row r="2434" spans="1:5" ht="14.25">
      <c r="A2434" s="67"/>
      <c r="B2434" s="67"/>
      <c r="C2434" s="67"/>
      <c r="D2434" s="67"/>
      <c r="E2434" s="67"/>
    </row>
    <row r="2435" spans="1:5" ht="14.25">
      <c r="A2435" s="67"/>
      <c r="B2435" s="67"/>
      <c r="C2435" s="67"/>
      <c r="D2435" s="67"/>
      <c r="E2435" s="67"/>
    </row>
    <row r="2436" spans="1:5" ht="14.25">
      <c r="A2436" s="67"/>
      <c r="B2436" s="67"/>
      <c r="C2436" s="67"/>
      <c r="D2436" s="67"/>
      <c r="E2436" s="67"/>
    </row>
    <row r="2437" spans="1:5" ht="14.25">
      <c r="A2437" s="67"/>
      <c r="B2437" s="67"/>
      <c r="C2437" s="67"/>
      <c r="D2437" s="67"/>
      <c r="E2437" s="67"/>
    </row>
    <row r="2438" spans="1:5" ht="14.25">
      <c r="A2438" s="67"/>
      <c r="B2438" s="67"/>
      <c r="C2438" s="67"/>
      <c r="D2438" s="67"/>
      <c r="E2438" s="67"/>
    </row>
    <row r="2439" spans="1:5" ht="14.25">
      <c r="A2439" s="67"/>
      <c r="B2439" s="67"/>
      <c r="C2439" s="67"/>
      <c r="D2439" s="67"/>
      <c r="E2439" s="67"/>
    </row>
    <row r="2440" spans="1:5" ht="14.25">
      <c r="A2440" s="67"/>
      <c r="B2440" s="67"/>
      <c r="C2440" s="67"/>
      <c r="D2440" s="67"/>
      <c r="E2440" s="67"/>
    </row>
    <row r="2441" spans="1:5" ht="14.25">
      <c r="A2441" s="67"/>
      <c r="B2441" s="67"/>
      <c r="C2441" s="67"/>
      <c r="D2441" s="67"/>
      <c r="E2441" s="67"/>
    </row>
    <row r="2442" spans="1:5" ht="14.25">
      <c r="A2442" s="67"/>
      <c r="B2442" s="67"/>
      <c r="C2442" s="67"/>
      <c r="D2442" s="67"/>
      <c r="E2442" s="67"/>
    </row>
    <row r="2443" spans="1:5" ht="14.25">
      <c r="A2443" s="67"/>
      <c r="B2443" s="67"/>
      <c r="C2443" s="67"/>
      <c r="D2443" s="67"/>
      <c r="E2443" s="67"/>
    </row>
    <row r="2444" spans="1:5" ht="14.25">
      <c r="A2444" s="67"/>
      <c r="B2444" s="67"/>
      <c r="C2444" s="67"/>
      <c r="D2444" s="67"/>
      <c r="E2444" s="67"/>
    </row>
    <row r="2445" spans="1:5" ht="14.25">
      <c r="A2445" s="67"/>
      <c r="B2445" s="67"/>
      <c r="C2445" s="67"/>
      <c r="D2445" s="67"/>
      <c r="E2445" s="67"/>
    </row>
    <row r="2446" spans="1:5" ht="14.25">
      <c r="A2446" s="67"/>
      <c r="B2446" s="67"/>
      <c r="C2446" s="67"/>
      <c r="D2446" s="67"/>
      <c r="E2446" s="67"/>
    </row>
    <row r="2447" spans="1:5" ht="14.25">
      <c r="A2447" s="67"/>
      <c r="B2447" s="67"/>
      <c r="C2447" s="67"/>
      <c r="D2447" s="67"/>
      <c r="E2447" s="67"/>
    </row>
    <row r="2448" spans="1:5" ht="14.25">
      <c r="A2448" s="67"/>
      <c r="B2448" s="67"/>
      <c r="C2448" s="67"/>
      <c r="D2448" s="67"/>
      <c r="E2448" s="67"/>
    </row>
    <row r="2449" spans="1:5" ht="14.25">
      <c r="A2449" s="67"/>
      <c r="B2449" s="67"/>
      <c r="C2449" s="67"/>
      <c r="D2449" s="67"/>
      <c r="E2449" s="67"/>
    </row>
    <row r="2450" spans="1:5" ht="14.25">
      <c r="A2450" s="67"/>
      <c r="B2450" s="67"/>
      <c r="C2450" s="67"/>
      <c r="D2450" s="67"/>
      <c r="E2450" s="67"/>
    </row>
    <row r="2451" spans="1:5" ht="14.25">
      <c r="A2451" s="67"/>
      <c r="B2451" s="67"/>
      <c r="C2451" s="67"/>
      <c r="D2451" s="67"/>
      <c r="E2451" s="67"/>
    </row>
    <row r="2452" spans="1:5" ht="14.25">
      <c r="A2452" s="67"/>
      <c r="B2452" s="67"/>
      <c r="C2452" s="67"/>
      <c r="D2452" s="67"/>
      <c r="E2452" s="67"/>
    </row>
    <row r="2453" spans="1:5" ht="14.25">
      <c r="A2453" s="67"/>
      <c r="B2453" s="67"/>
      <c r="C2453" s="67"/>
      <c r="D2453" s="67"/>
      <c r="E2453" s="67"/>
    </row>
    <row r="2454" spans="1:5" ht="14.25">
      <c r="A2454" s="67"/>
      <c r="B2454" s="67"/>
      <c r="C2454" s="67"/>
      <c r="D2454" s="67"/>
      <c r="E2454" s="67"/>
    </row>
    <row r="2455" spans="1:5" ht="14.25">
      <c r="A2455" s="67"/>
      <c r="B2455" s="67"/>
      <c r="C2455" s="67"/>
      <c r="D2455" s="67"/>
      <c r="E2455" s="67"/>
    </row>
    <row r="2456" spans="1:5" ht="14.25">
      <c r="A2456" s="67"/>
      <c r="B2456" s="67"/>
      <c r="C2456" s="67"/>
      <c r="D2456" s="67"/>
      <c r="E2456" s="67"/>
    </row>
    <row r="2457" spans="1:5" ht="14.25">
      <c r="A2457" s="67"/>
      <c r="B2457" s="67"/>
      <c r="C2457" s="67"/>
      <c r="D2457" s="67"/>
      <c r="E2457" s="67"/>
    </row>
    <row r="2458" spans="1:5" ht="14.25">
      <c r="A2458" s="67"/>
      <c r="B2458" s="67"/>
      <c r="C2458" s="67"/>
      <c r="D2458" s="67"/>
      <c r="E2458" s="67"/>
    </row>
    <row r="2459" spans="1:5" ht="14.25">
      <c r="A2459" s="67"/>
      <c r="B2459" s="67"/>
      <c r="C2459" s="67"/>
      <c r="D2459" s="67"/>
      <c r="E2459" s="67"/>
    </row>
    <row r="2460" spans="1:5" ht="14.25">
      <c r="A2460" s="67"/>
      <c r="B2460" s="67"/>
      <c r="C2460" s="67"/>
      <c r="D2460" s="67"/>
      <c r="E2460" s="67"/>
    </row>
    <row r="2461" spans="1:5" ht="14.25">
      <c r="A2461" s="67"/>
      <c r="B2461" s="67"/>
      <c r="C2461" s="67"/>
      <c r="D2461" s="67"/>
      <c r="E2461" s="67"/>
    </row>
    <row r="2462" spans="1:5" ht="14.25">
      <c r="A2462" s="67"/>
      <c r="B2462" s="67"/>
      <c r="C2462" s="67"/>
      <c r="D2462" s="67"/>
      <c r="E2462" s="67"/>
    </row>
    <row r="2463" spans="1:5" ht="14.25">
      <c r="A2463" s="67"/>
      <c r="B2463" s="67"/>
      <c r="C2463" s="67"/>
      <c r="D2463" s="67"/>
      <c r="E2463" s="67"/>
    </row>
    <row r="2464" spans="1:5" ht="14.25">
      <c r="A2464" s="67"/>
      <c r="B2464" s="67"/>
      <c r="C2464" s="67"/>
      <c r="D2464" s="67"/>
      <c r="E2464" s="67"/>
    </row>
    <row r="2465" spans="1:5" ht="14.25">
      <c r="A2465" s="67"/>
      <c r="B2465" s="67"/>
      <c r="C2465" s="67"/>
      <c r="D2465" s="67"/>
      <c r="E2465" s="67"/>
    </row>
    <row r="2466" spans="1:5" ht="14.25">
      <c r="A2466" s="67"/>
      <c r="B2466" s="67"/>
      <c r="C2466" s="67"/>
      <c r="D2466" s="67"/>
      <c r="E2466" s="67"/>
    </row>
    <row r="2467" spans="1:5" ht="14.25">
      <c r="A2467" s="67"/>
      <c r="B2467" s="67"/>
      <c r="C2467" s="67"/>
      <c r="D2467" s="67"/>
      <c r="E2467" s="67"/>
    </row>
    <row r="2468" spans="1:5" ht="14.25">
      <c r="A2468" s="67"/>
      <c r="B2468" s="67"/>
      <c r="C2468" s="67"/>
      <c r="D2468" s="67"/>
      <c r="E2468" s="67"/>
    </row>
    <row r="2469" spans="1:5" ht="14.25">
      <c r="A2469" s="67"/>
      <c r="B2469" s="67"/>
      <c r="C2469" s="67"/>
      <c r="D2469" s="67"/>
      <c r="E2469" s="67"/>
    </row>
    <row r="2470" spans="1:5" ht="14.25">
      <c r="A2470" s="67"/>
      <c r="B2470" s="67"/>
      <c r="C2470" s="67"/>
      <c r="D2470" s="67"/>
      <c r="E2470" s="67"/>
    </row>
    <row r="2471" spans="1:5" ht="14.25">
      <c r="A2471" s="67"/>
      <c r="B2471" s="67"/>
      <c r="C2471" s="67"/>
      <c r="D2471" s="67"/>
      <c r="E2471" s="67"/>
    </row>
    <row r="2472" spans="1:5" ht="14.25">
      <c r="A2472" s="67"/>
      <c r="B2472" s="67"/>
      <c r="C2472" s="67"/>
      <c r="D2472" s="67"/>
      <c r="E2472" s="67"/>
    </row>
    <row r="2473" spans="1:5" ht="14.25">
      <c r="A2473" s="67"/>
      <c r="B2473" s="67"/>
      <c r="C2473" s="67"/>
      <c r="D2473" s="67"/>
      <c r="E2473" s="67"/>
    </row>
    <row r="2474" spans="1:5" ht="14.25">
      <c r="A2474" s="67"/>
      <c r="B2474" s="67"/>
      <c r="C2474" s="67"/>
      <c r="D2474" s="67"/>
      <c r="E2474" s="67"/>
    </row>
    <row r="2475" spans="1:5" ht="14.25">
      <c r="A2475" s="67"/>
      <c r="B2475" s="67"/>
      <c r="C2475" s="67"/>
      <c r="D2475" s="67"/>
      <c r="E2475" s="67"/>
    </row>
    <row r="2476" spans="1:5" ht="14.25">
      <c r="A2476" s="67"/>
      <c r="B2476" s="67"/>
      <c r="C2476" s="67"/>
      <c r="D2476" s="67"/>
      <c r="E2476" s="67"/>
    </row>
    <row r="2477" spans="1:5" ht="14.25">
      <c r="A2477" s="67"/>
      <c r="B2477" s="67"/>
      <c r="C2477" s="67"/>
      <c r="D2477" s="67"/>
      <c r="E2477" s="67"/>
    </row>
    <row r="2478" spans="1:5" ht="14.25">
      <c r="A2478" s="67"/>
      <c r="B2478" s="67"/>
      <c r="C2478" s="67"/>
      <c r="D2478" s="67"/>
      <c r="E2478" s="67"/>
    </row>
    <row r="2479" spans="1:5" ht="14.25">
      <c r="A2479" s="67"/>
      <c r="B2479" s="67"/>
      <c r="C2479" s="67"/>
      <c r="D2479" s="67"/>
      <c r="E2479" s="67"/>
    </row>
    <row r="2480" spans="1:5" ht="14.25">
      <c r="A2480" s="67"/>
      <c r="B2480" s="67"/>
      <c r="C2480" s="67"/>
      <c r="D2480" s="67"/>
      <c r="E2480" s="67"/>
    </row>
    <row r="2481" spans="1:5" ht="14.25">
      <c r="A2481" s="67"/>
      <c r="B2481" s="67"/>
      <c r="C2481" s="67"/>
      <c r="D2481" s="67"/>
      <c r="E2481" s="67"/>
    </row>
    <row r="2482" spans="1:5" ht="14.25">
      <c r="A2482" s="67"/>
      <c r="B2482" s="67"/>
      <c r="C2482" s="67"/>
      <c r="D2482" s="67"/>
      <c r="E2482" s="67"/>
    </row>
    <row r="2483" spans="1:5" ht="14.25">
      <c r="A2483" s="67"/>
      <c r="B2483" s="67"/>
      <c r="C2483" s="67"/>
      <c r="D2483" s="67"/>
      <c r="E2483" s="67"/>
    </row>
    <row r="2484" spans="1:5" ht="14.25">
      <c r="A2484" s="67"/>
      <c r="B2484" s="67"/>
      <c r="C2484" s="67"/>
      <c r="D2484" s="67"/>
      <c r="E2484" s="67"/>
    </row>
    <row r="2485" spans="1:5" ht="14.25">
      <c r="A2485" s="67"/>
      <c r="B2485" s="67"/>
      <c r="C2485" s="67"/>
      <c r="D2485" s="67"/>
      <c r="E2485" s="67"/>
    </row>
    <row r="2486" spans="1:5" ht="14.25">
      <c r="A2486" s="67"/>
      <c r="B2486" s="67"/>
      <c r="C2486" s="67"/>
      <c r="D2486" s="67"/>
      <c r="E2486" s="67"/>
    </row>
    <row r="2487" spans="1:5" ht="14.25">
      <c r="A2487" s="67"/>
      <c r="B2487" s="67"/>
      <c r="C2487" s="67"/>
      <c r="D2487" s="67"/>
      <c r="E2487" s="67"/>
    </row>
    <row r="2488" spans="1:5" ht="14.25">
      <c r="A2488" s="67"/>
      <c r="B2488" s="67"/>
      <c r="C2488" s="67"/>
      <c r="D2488" s="67"/>
      <c r="E2488" s="67"/>
    </row>
    <row r="2489" spans="1:5" ht="14.25">
      <c r="A2489" s="67"/>
      <c r="B2489" s="67"/>
      <c r="C2489" s="67"/>
      <c r="D2489" s="67"/>
      <c r="E2489" s="67"/>
    </row>
    <row r="2490" spans="1:5" ht="14.25">
      <c r="A2490" s="67"/>
      <c r="B2490" s="67"/>
      <c r="C2490" s="67"/>
      <c r="D2490" s="67"/>
      <c r="E2490" s="67"/>
    </row>
    <row r="2491" spans="1:5" ht="14.25">
      <c r="A2491" s="67"/>
      <c r="B2491" s="67"/>
      <c r="C2491" s="67"/>
      <c r="D2491" s="67"/>
      <c r="E2491" s="67"/>
    </row>
    <row r="2492" spans="1:5" ht="14.25">
      <c r="A2492" s="67"/>
      <c r="B2492" s="67"/>
      <c r="C2492" s="67"/>
      <c r="D2492" s="67"/>
      <c r="E2492" s="67"/>
    </row>
    <row r="2493" spans="1:5" ht="14.25">
      <c r="A2493" s="67"/>
      <c r="B2493" s="67"/>
      <c r="C2493" s="67"/>
      <c r="D2493" s="67"/>
      <c r="E2493" s="67"/>
    </row>
    <row r="2494" spans="1:5" ht="14.25">
      <c r="A2494" s="67"/>
      <c r="B2494" s="67"/>
      <c r="C2494" s="67"/>
      <c r="D2494" s="67"/>
      <c r="E2494" s="67"/>
    </row>
    <row r="2495" spans="1:5" ht="14.25">
      <c r="A2495" s="67"/>
      <c r="B2495" s="67"/>
      <c r="C2495" s="67"/>
      <c r="D2495" s="67"/>
      <c r="E2495" s="67"/>
    </row>
    <row r="2496" spans="1:5" ht="14.25">
      <c r="A2496" s="67"/>
      <c r="B2496" s="67"/>
      <c r="C2496" s="67"/>
      <c r="D2496" s="67"/>
      <c r="E2496" s="67"/>
    </row>
    <row r="2497" spans="1:5" ht="14.25">
      <c r="A2497" s="67"/>
      <c r="B2497" s="67"/>
      <c r="C2497" s="67"/>
      <c r="D2497" s="67"/>
      <c r="E2497" s="67"/>
    </row>
    <row r="2498" spans="1:5" ht="14.25">
      <c r="A2498" s="67"/>
      <c r="B2498" s="67"/>
      <c r="C2498" s="67"/>
      <c r="D2498" s="67"/>
      <c r="E2498" s="67"/>
    </row>
    <row r="2499" spans="1:5" ht="14.25">
      <c r="A2499" s="67"/>
      <c r="B2499" s="67"/>
      <c r="C2499" s="67"/>
      <c r="D2499" s="67"/>
      <c r="E2499" s="67"/>
    </row>
    <row r="2500" spans="1:5" ht="14.25">
      <c r="A2500" s="67"/>
      <c r="B2500" s="67"/>
      <c r="C2500" s="67"/>
      <c r="D2500" s="67"/>
      <c r="E2500" s="67"/>
    </row>
    <row r="2501" spans="1:5" ht="14.25">
      <c r="A2501" s="67"/>
      <c r="B2501" s="67"/>
      <c r="C2501" s="67"/>
      <c r="D2501" s="67"/>
      <c r="E2501" s="67"/>
    </row>
    <row r="2502" spans="1:5" ht="14.25">
      <c r="A2502" s="67"/>
      <c r="B2502" s="67"/>
      <c r="C2502" s="67"/>
      <c r="D2502" s="67"/>
      <c r="E2502" s="67"/>
    </row>
    <row r="2503" spans="1:5" ht="14.25">
      <c r="A2503" s="67"/>
      <c r="B2503" s="67"/>
      <c r="C2503" s="67"/>
      <c r="D2503" s="67"/>
      <c r="E2503" s="67"/>
    </row>
    <row r="2504" spans="1:5" ht="14.25">
      <c r="A2504" s="67"/>
      <c r="B2504" s="67"/>
      <c r="C2504" s="67"/>
      <c r="D2504" s="67"/>
      <c r="E2504" s="67"/>
    </row>
    <row r="2505" spans="1:5" ht="14.25">
      <c r="A2505" s="67"/>
      <c r="B2505" s="67"/>
      <c r="C2505" s="67"/>
      <c r="D2505" s="67"/>
      <c r="E2505" s="67"/>
    </row>
    <row r="2506" spans="1:5" ht="14.25">
      <c r="A2506" s="67"/>
      <c r="B2506" s="67"/>
      <c r="C2506" s="67"/>
      <c r="D2506" s="67"/>
      <c r="E2506" s="67"/>
    </row>
    <row r="2507" spans="1:5" ht="14.25">
      <c r="A2507" s="67"/>
      <c r="B2507" s="67"/>
      <c r="C2507" s="67"/>
      <c r="D2507" s="67"/>
      <c r="E2507" s="67"/>
    </row>
    <row r="2508" spans="1:5" ht="14.25">
      <c r="A2508" s="67"/>
      <c r="B2508" s="67"/>
      <c r="C2508" s="67"/>
      <c r="D2508" s="67"/>
      <c r="E2508" s="67"/>
    </row>
    <row r="2509" spans="1:5" ht="14.25">
      <c r="A2509" s="67"/>
      <c r="B2509" s="67"/>
      <c r="C2509" s="67"/>
      <c r="D2509" s="67"/>
      <c r="E2509" s="67"/>
    </row>
    <row r="2510" spans="1:5" ht="14.25">
      <c r="A2510" s="67"/>
      <c r="B2510" s="67"/>
      <c r="C2510" s="67"/>
      <c r="D2510" s="67"/>
      <c r="E2510" s="67"/>
    </row>
    <row r="2511" spans="1:5" ht="14.25">
      <c r="A2511" s="67"/>
      <c r="B2511" s="67"/>
      <c r="C2511" s="67"/>
      <c r="D2511" s="67"/>
      <c r="E2511" s="67"/>
    </row>
    <row r="2512" spans="1:5" ht="14.25">
      <c r="A2512" s="67"/>
      <c r="B2512" s="67"/>
      <c r="C2512" s="67"/>
      <c r="D2512" s="67"/>
      <c r="E2512" s="67"/>
    </row>
    <row r="2513" spans="1:5" ht="14.25">
      <c r="A2513" s="67"/>
      <c r="B2513" s="67"/>
      <c r="C2513" s="67"/>
      <c r="D2513" s="67"/>
      <c r="E2513" s="67"/>
    </row>
    <row r="2514" spans="1:5" ht="14.25">
      <c r="A2514" s="67"/>
      <c r="B2514" s="67"/>
      <c r="C2514" s="67"/>
      <c r="D2514" s="67"/>
      <c r="E2514" s="67"/>
    </row>
    <row r="2515" spans="1:5" ht="14.25">
      <c r="A2515" s="67"/>
      <c r="B2515" s="67"/>
      <c r="C2515" s="67"/>
      <c r="D2515" s="67"/>
      <c r="E2515" s="67"/>
    </row>
    <row r="2516" spans="1:5" ht="14.25">
      <c r="A2516" s="67"/>
      <c r="B2516" s="67"/>
      <c r="C2516" s="67"/>
      <c r="D2516" s="67"/>
      <c r="E2516" s="67"/>
    </row>
    <row r="2517" spans="1:5" ht="14.25">
      <c r="A2517" s="67"/>
      <c r="B2517" s="67"/>
      <c r="C2517" s="67"/>
      <c r="D2517" s="67"/>
      <c r="E2517" s="67"/>
    </row>
    <row r="2518" spans="1:5" ht="14.25">
      <c r="A2518" s="67"/>
      <c r="B2518" s="67"/>
      <c r="C2518" s="67"/>
      <c r="D2518" s="67"/>
      <c r="E2518" s="67"/>
    </row>
    <row r="2519" spans="1:5" ht="14.25">
      <c r="A2519" s="67"/>
      <c r="B2519" s="67"/>
      <c r="C2519" s="67"/>
      <c r="D2519" s="67"/>
      <c r="E2519" s="67"/>
    </row>
    <row r="2520" spans="1:5" ht="14.25">
      <c r="A2520" s="67"/>
      <c r="B2520" s="67"/>
      <c r="C2520" s="67"/>
      <c r="D2520" s="67"/>
      <c r="E2520" s="67"/>
    </row>
    <row r="2521" spans="1:5" ht="14.25">
      <c r="A2521" s="67"/>
      <c r="B2521" s="67"/>
      <c r="C2521" s="67"/>
      <c r="D2521" s="67"/>
      <c r="E2521" s="67"/>
    </row>
    <row r="2522" spans="1:5" ht="14.25">
      <c r="A2522" s="67"/>
      <c r="B2522" s="67"/>
      <c r="C2522" s="67"/>
      <c r="D2522" s="67"/>
      <c r="E2522" s="67"/>
    </row>
    <row r="2523" spans="1:5" ht="14.25">
      <c r="A2523" s="67"/>
      <c r="B2523" s="67"/>
      <c r="C2523" s="67"/>
      <c r="D2523" s="67"/>
      <c r="E2523" s="67"/>
    </row>
    <row r="2524" spans="1:5" ht="14.25">
      <c r="A2524" s="67"/>
      <c r="B2524" s="67"/>
      <c r="C2524" s="67"/>
      <c r="D2524" s="67"/>
      <c r="E2524" s="67"/>
    </row>
    <row r="2525" spans="1:5" ht="14.25">
      <c r="A2525" s="67"/>
      <c r="B2525" s="67"/>
      <c r="C2525" s="67"/>
      <c r="D2525" s="67"/>
      <c r="E2525" s="67"/>
    </row>
    <row r="2526" spans="1:5" ht="14.25">
      <c r="A2526" s="67"/>
      <c r="B2526" s="67"/>
      <c r="C2526" s="67"/>
      <c r="D2526" s="67"/>
      <c r="E2526" s="67"/>
    </row>
    <row r="2527" spans="1:5" ht="14.25">
      <c r="A2527" s="67"/>
      <c r="B2527" s="67"/>
      <c r="C2527" s="67"/>
      <c r="D2527" s="67"/>
      <c r="E2527" s="67"/>
    </row>
    <row r="2528" spans="1:5" ht="14.25">
      <c r="A2528" s="67"/>
      <c r="B2528" s="67"/>
      <c r="C2528" s="67"/>
      <c r="D2528" s="67"/>
      <c r="E2528" s="67"/>
    </row>
    <row r="2529" spans="1:5" ht="14.25">
      <c r="A2529" s="67"/>
      <c r="B2529" s="67"/>
      <c r="C2529" s="67"/>
      <c r="D2529" s="67"/>
      <c r="E2529" s="67"/>
    </row>
    <row r="2530" spans="1:5" ht="14.25">
      <c r="A2530" s="67"/>
      <c r="B2530" s="67"/>
      <c r="C2530" s="67"/>
      <c r="D2530" s="67"/>
      <c r="E2530" s="67"/>
    </row>
    <row r="2531" spans="1:5" ht="14.25">
      <c r="A2531" s="67"/>
      <c r="B2531" s="67"/>
      <c r="C2531" s="67"/>
      <c r="D2531" s="67"/>
      <c r="E2531" s="67"/>
    </row>
    <row r="2532" spans="1:5" ht="14.25">
      <c r="A2532" s="67"/>
      <c r="B2532" s="67"/>
      <c r="C2532" s="67"/>
      <c r="D2532" s="67"/>
      <c r="E2532" s="67"/>
    </row>
    <row r="2533" spans="1:5" ht="14.25">
      <c r="A2533" s="67"/>
      <c r="B2533" s="67"/>
      <c r="C2533" s="67"/>
      <c r="D2533" s="67"/>
      <c r="E2533" s="67"/>
    </row>
    <row r="2534" spans="1:5" ht="14.25">
      <c r="A2534" s="67"/>
      <c r="B2534" s="67"/>
      <c r="C2534" s="67"/>
      <c r="D2534" s="67"/>
      <c r="E2534" s="67"/>
    </row>
    <row r="2535" spans="1:5" ht="14.25">
      <c r="A2535" s="67"/>
      <c r="B2535" s="67"/>
      <c r="C2535" s="67"/>
      <c r="D2535" s="67"/>
      <c r="E2535" s="67"/>
    </row>
    <row r="2536" spans="1:5" ht="14.25">
      <c r="A2536" s="67"/>
      <c r="B2536" s="67"/>
      <c r="C2536" s="67"/>
      <c r="D2536" s="67"/>
      <c r="E2536" s="67"/>
    </row>
    <row r="2537" spans="1:5" ht="14.25">
      <c r="A2537" s="67"/>
      <c r="B2537" s="67"/>
      <c r="C2537" s="67"/>
      <c r="D2537" s="67"/>
      <c r="E2537" s="67"/>
    </row>
    <row r="2538" spans="1:5" ht="14.25">
      <c r="A2538" s="67"/>
      <c r="B2538" s="67"/>
      <c r="C2538" s="67"/>
      <c r="D2538" s="67"/>
      <c r="E2538" s="67"/>
    </row>
    <row r="2539" spans="1:5" ht="14.25">
      <c r="A2539" s="67"/>
      <c r="B2539" s="67"/>
      <c r="C2539" s="67"/>
      <c r="D2539" s="67"/>
      <c r="E2539" s="67"/>
    </row>
    <row r="2540" spans="1:5" ht="14.25">
      <c r="A2540" s="67"/>
      <c r="B2540" s="67"/>
      <c r="C2540" s="67"/>
      <c r="D2540" s="67"/>
      <c r="E2540" s="67"/>
    </row>
    <row r="2541" spans="1:5" ht="14.25">
      <c r="A2541" s="67"/>
      <c r="B2541" s="67"/>
      <c r="C2541" s="67"/>
      <c r="D2541" s="67"/>
      <c r="E2541" s="67"/>
    </row>
    <row r="2542" spans="1:5" ht="14.25">
      <c r="A2542" s="67"/>
      <c r="B2542" s="67"/>
      <c r="C2542" s="67"/>
      <c r="D2542" s="67"/>
      <c r="E2542" s="67"/>
    </row>
    <row r="2543" spans="1:5" ht="14.25">
      <c r="A2543" s="67"/>
      <c r="B2543" s="67"/>
      <c r="C2543" s="67"/>
      <c r="D2543" s="67"/>
      <c r="E2543" s="67"/>
    </row>
    <row r="2544" spans="1:5" ht="14.25">
      <c r="A2544" s="67"/>
      <c r="B2544" s="67"/>
      <c r="C2544" s="67"/>
      <c r="D2544" s="67"/>
      <c r="E2544" s="67"/>
    </row>
    <row r="2545" spans="1:5" ht="14.25">
      <c r="A2545" s="67"/>
      <c r="B2545" s="67"/>
      <c r="C2545" s="67"/>
      <c r="D2545" s="67"/>
      <c r="E2545" s="67"/>
    </row>
    <row r="2546" spans="1:5" ht="14.25">
      <c r="A2546" s="67"/>
      <c r="B2546" s="67"/>
      <c r="C2546" s="67"/>
      <c r="D2546" s="67"/>
      <c r="E2546" s="67"/>
    </row>
    <row r="2547" spans="1:5" ht="14.25">
      <c r="A2547" s="67"/>
      <c r="B2547" s="67"/>
      <c r="C2547" s="67"/>
      <c r="D2547" s="67"/>
      <c r="E2547" s="67"/>
    </row>
    <row r="2548" spans="1:5" ht="14.25">
      <c r="A2548" s="67"/>
      <c r="B2548" s="67"/>
      <c r="C2548" s="67"/>
      <c r="D2548" s="67"/>
      <c r="E2548" s="67"/>
    </row>
    <row r="2549" spans="1:5" ht="14.25">
      <c r="A2549" s="67"/>
      <c r="B2549" s="67"/>
      <c r="C2549" s="67"/>
      <c r="D2549" s="67"/>
      <c r="E2549" s="67"/>
    </row>
    <row r="2550" spans="1:5" ht="14.25">
      <c r="A2550" s="67"/>
      <c r="B2550" s="67"/>
      <c r="C2550" s="67"/>
      <c r="D2550" s="67"/>
      <c r="E2550" s="67"/>
    </row>
    <row r="2551" spans="1:5" ht="14.25">
      <c r="A2551" s="67"/>
      <c r="B2551" s="67"/>
      <c r="C2551" s="67"/>
      <c r="D2551" s="67"/>
      <c r="E2551" s="67"/>
    </row>
    <row r="2552" spans="1:5" ht="14.25">
      <c r="A2552" s="67"/>
      <c r="B2552" s="67"/>
      <c r="C2552" s="67"/>
      <c r="D2552" s="67"/>
      <c r="E2552" s="67"/>
    </row>
    <row r="2553" spans="1:5" ht="14.25">
      <c r="A2553" s="67"/>
      <c r="B2553" s="67"/>
      <c r="C2553" s="67"/>
      <c r="D2553" s="67"/>
      <c r="E2553" s="67"/>
    </row>
    <row r="2554" spans="1:5" ht="14.25">
      <c r="A2554" s="67"/>
      <c r="B2554" s="67"/>
      <c r="C2554" s="67"/>
      <c r="D2554" s="67"/>
      <c r="E2554" s="67"/>
    </row>
    <row r="2555" spans="1:5" ht="14.25">
      <c r="A2555" s="67"/>
      <c r="B2555" s="67"/>
      <c r="C2555" s="67"/>
      <c r="D2555" s="67"/>
      <c r="E2555" s="67"/>
    </row>
    <row r="2556" spans="1:5" ht="14.25">
      <c r="A2556" s="67"/>
      <c r="B2556" s="67"/>
      <c r="C2556" s="67"/>
      <c r="D2556" s="67"/>
      <c r="E2556" s="67"/>
    </row>
    <row r="2557" spans="1:5" ht="14.25">
      <c r="A2557" s="67"/>
      <c r="B2557" s="67"/>
      <c r="C2557" s="67"/>
      <c r="D2557" s="67"/>
      <c r="E2557" s="67"/>
    </row>
    <row r="2558" spans="1:5" ht="14.25">
      <c r="A2558" s="67"/>
      <c r="B2558" s="67"/>
      <c r="C2558" s="67"/>
      <c r="D2558" s="67"/>
      <c r="E2558" s="67"/>
    </row>
    <row r="2559" spans="1:5" ht="14.25">
      <c r="A2559" s="67"/>
      <c r="B2559" s="67"/>
      <c r="C2559" s="67"/>
      <c r="D2559" s="67"/>
      <c r="E2559" s="67"/>
    </row>
    <row r="2560" spans="1:5" ht="14.25">
      <c r="A2560" s="67"/>
      <c r="B2560" s="67"/>
      <c r="C2560" s="67"/>
      <c r="D2560" s="67"/>
      <c r="E2560" s="67"/>
    </row>
    <row r="2561" spans="1:5" ht="14.25">
      <c r="A2561" s="67"/>
      <c r="B2561" s="67"/>
      <c r="C2561" s="67"/>
      <c r="D2561" s="67"/>
      <c r="E2561" s="67"/>
    </row>
    <row r="2562" spans="1:5" ht="14.25">
      <c r="A2562" s="67"/>
      <c r="B2562" s="67"/>
      <c r="C2562" s="67"/>
      <c r="D2562" s="67"/>
      <c r="E2562" s="67"/>
    </row>
    <row r="2563" spans="1:5" ht="14.25">
      <c r="A2563" s="67"/>
      <c r="B2563" s="67"/>
      <c r="C2563" s="67"/>
      <c r="D2563" s="67"/>
      <c r="E2563" s="67"/>
    </row>
    <row r="2564" spans="1:5" ht="14.25">
      <c r="A2564" s="67"/>
      <c r="B2564" s="67"/>
      <c r="C2564" s="67"/>
      <c r="D2564" s="67"/>
      <c r="E2564" s="67"/>
    </row>
    <row r="2565" spans="1:5" ht="14.25">
      <c r="A2565" s="67"/>
      <c r="B2565" s="67"/>
      <c r="C2565" s="67"/>
      <c r="D2565" s="67"/>
      <c r="E2565" s="67"/>
    </row>
    <row r="2566" spans="1:5" ht="14.25">
      <c r="A2566" s="67"/>
      <c r="B2566" s="67"/>
      <c r="C2566" s="67"/>
      <c r="D2566" s="67"/>
      <c r="E2566" s="67"/>
    </row>
    <row r="2567" spans="1:5" ht="14.25">
      <c r="A2567" s="67"/>
      <c r="B2567" s="67"/>
      <c r="C2567" s="67"/>
      <c r="D2567" s="67"/>
      <c r="E2567" s="67"/>
    </row>
    <row r="2568" spans="1:5" ht="14.25">
      <c r="A2568" s="67"/>
      <c r="B2568" s="67"/>
      <c r="C2568" s="67"/>
      <c r="D2568" s="67"/>
      <c r="E2568" s="67"/>
    </row>
    <row r="2569" spans="1:5" ht="14.25">
      <c r="A2569" s="67"/>
      <c r="B2569" s="67"/>
      <c r="C2569" s="67"/>
      <c r="D2569" s="67"/>
      <c r="E2569" s="67"/>
    </row>
    <row r="2570" spans="1:5" ht="14.25">
      <c r="A2570" s="67"/>
      <c r="B2570" s="67"/>
      <c r="C2570" s="67"/>
      <c r="D2570" s="67"/>
      <c r="E2570" s="67"/>
    </row>
    <row r="2571" spans="1:5" ht="14.25">
      <c r="A2571" s="67"/>
      <c r="B2571" s="67"/>
      <c r="C2571" s="67"/>
      <c r="D2571" s="67"/>
      <c r="E2571" s="67"/>
    </row>
    <row r="2572" spans="1:5" ht="14.25">
      <c r="A2572" s="67"/>
      <c r="B2572" s="67"/>
      <c r="C2572" s="67"/>
      <c r="D2572" s="67"/>
      <c r="E2572" s="67"/>
    </row>
    <row r="2573" spans="1:5" ht="14.25">
      <c r="A2573" s="67"/>
      <c r="B2573" s="67"/>
      <c r="C2573" s="67"/>
      <c r="D2573" s="67"/>
      <c r="E2573" s="67"/>
    </row>
    <row r="2574" spans="1:5" ht="14.25">
      <c r="A2574" s="67"/>
      <c r="B2574" s="67"/>
      <c r="C2574" s="67"/>
      <c r="D2574" s="67"/>
      <c r="E2574" s="67"/>
    </row>
    <row r="2575" spans="1:5" ht="14.25">
      <c r="A2575" s="67"/>
      <c r="B2575" s="67"/>
      <c r="C2575" s="67"/>
      <c r="D2575" s="67"/>
      <c r="E2575" s="67"/>
    </row>
    <row r="2576" spans="1:5" ht="14.25">
      <c r="A2576" s="67"/>
      <c r="B2576" s="67"/>
      <c r="C2576" s="67"/>
      <c r="D2576" s="67"/>
      <c r="E2576" s="67"/>
    </row>
    <row r="2577" spans="1:5" ht="14.25">
      <c r="A2577" s="67"/>
      <c r="B2577" s="67"/>
      <c r="C2577" s="67"/>
      <c r="D2577" s="67"/>
      <c r="E2577" s="67"/>
    </row>
    <row r="2578" spans="1:5" ht="14.25">
      <c r="A2578" s="67"/>
      <c r="B2578" s="67"/>
      <c r="C2578" s="67"/>
      <c r="D2578" s="67"/>
      <c r="E2578" s="67"/>
    </row>
    <row r="2579" spans="1:5" ht="14.25">
      <c r="A2579" s="67"/>
      <c r="B2579" s="67"/>
      <c r="C2579" s="67"/>
      <c r="D2579" s="67"/>
      <c r="E2579" s="67"/>
    </row>
    <row r="2580" spans="1:5" ht="14.25">
      <c r="A2580" s="67"/>
      <c r="B2580" s="67"/>
      <c r="C2580" s="67"/>
      <c r="D2580" s="67"/>
      <c r="E2580" s="67"/>
    </row>
    <row r="2581" spans="1:5" ht="14.25">
      <c r="A2581" s="67"/>
      <c r="B2581" s="67"/>
      <c r="C2581" s="67"/>
      <c r="D2581" s="67"/>
      <c r="E2581" s="67"/>
    </row>
    <row r="2582" spans="1:5" ht="14.25">
      <c r="A2582" s="67"/>
      <c r="B2582" s="67"/>
      <c r="C2582" s="67"/>
      <c r="D2582" s="67"/>
      <c r="E2582" s="67"/>
    </row>
    <row r="2583" spans="1:5" ht="14.25">
      <c r="A2583" s="67"/>
      <c r="B2583" s="67"/>
      <c r="C2583" s="67"/>
      <c r="D2583" s="67"/>
      <c r="E2583" s="67"/>
    </row>
    <row r="2584" spans="1:5" ht="14.25">
      <c r="A2584" s="67"/>
      <c r="B2584" s="67"/>
      <c r="C2584" s="67"/>
      <c r="D2584" s="67"/>
      <c r="E2584" s="67"/>
    </row>
    <row r="2585" spans="1:5" ht="14.25">
      <c r="A2585" s="67"/>
      <c r="B2585" s="67"/>
      <c r="C2585" s="67"/>
      <c r="D2585" s="67"/>
      <c r="E2585" s="67"/>
    </row>
    <row r="2586" spans="1:5" ht="14.25">
      <c r="A2586" s="67"/>
      <c r="B2586" s="67"/>
      <c r="C2586" s="67"/>
      <c r="D2586" s="67"/>
      <c r="E2586" s="67"/>
    </row>
    <row r="2587" spans="1:5" ht="14.25">
      <c r="A2587" s="67"/>
      <c r="B2587" s="67"/>
      <c r="C2587" s="67"/>
      <c r="D2587" s="67"/>
      <c r="E2587" s="67"/>
    </row>
    <row r="2588" spans="1:5" ht="14.25">
      <c r="A2588" s="67"/>
      <c r="B2588" s="67"/>
      <c r="C2588" s="67"/>
      <c r="D2588" s="67"/>
      <c r="E2588" s="67"/>
    </row>
    <row r="2589" spans="1:5" ht="14.25">
      <c r="A2589" s="67"/>
      <c r="B2589" s="67"/>
      <c r="C2589" s="67"/>
      <c r="D2589" s="67"/>
      <c r="E2589" s="67"/>
    </row>
    <row r="2590" spans="1:5" ht="14.25">
      <c r="A2590" s="67"/>
      <c r="B2590" s="67"/>
      <c r="C2590" s="67"/>
      <c r="D2590" s="67"/>
      <c r="E2590" s="67"/>
    </row>
    <row r="2591" spans="1:5" ht="14.25">
      <c r="A2591" s="67"/>
      <c r="B2591" s="67"/>
      <c r="C2591" s="67"/>
      <c r="D2591" s="67"/>
      <c r="E2591" s="67"/>
    </row>
    <row r="2592" spans="1:5" ht="14.25">
      <c r="A2592" s="67"/>
      <c r="B2592" s="67"/>
      <c r="C2592" s="67"/>
      <c r="D2592" s="67"/>
      <c r="E2592" s="67"/>
    </row>
    <row r="2593" spans="1:5" ht="14.25">
      <c r="A2593" s="67"/>
      <c r="B2593" s="67"/>
      <c r="C2593" s="67"/>
      <c r="D2593" s="67"/>
      <c r="E2593" s="67"/>
    </row>
    <row r="2594" spans="1:5" ht="14.25">
      <c r="A2594" s="67"/>
      <c r="B2594" s="67"/>
      <c r="C2594" s="67"/>
      <c r="D2594" s="67"/>
      <c r="E2594" s="67"/>
    </row>
    <row r="2595" spans="1:5" ht="14.25">
      <c r="A2595" s="67"/>
      <c r="B2595" s="67"/>
      <c r="C2595" s="67"/>
      <c r="D2595" s="67"/>
      <c r="E2595" s="67"/>
    </row>
    <row r="2596" spans="1:5" ht="14.25">
      <c r="A2596" s="67"/>
      <c r="B2596" s="67"/>
      <c r="C2596" s="67"/>
      <c r="D2596" s="67"/>
      <c r="E2596" s="67"/>
    </row>
    <row r="2597" spans="1:5" ht="14.25">
      <c r="A2597" s="67"/>
      <c r="B2597" s="67"/>
      <c r="C2597" s="67"/>
      <c r="D2597" s="67"/>
      <c r="E2597" s="67"/>
    </row>
    <row r="2598" spans="1:5" ht="14.25">
      <c r="A2598" s="67"/>
      <c r="B2598" s="67"/>
      <c r="C2598" s="67"/>
      <c r="D2598" s="67"/>
      <c r="E2598" s="67"/>
    </row>
    <row r="2599" spans="1:5" ht="14.25">
      <c r="A2599" s="67"/>
      <c r="B2599" s="67"/>
      <c r="C2599" s="67"/>
      <c r="D2599" s="67"/>
      <c r="E2599" s="67"/>
    </row>
    <row r="2600" spans="1:5" ht="14.25">
      <c r="A2600" s="67"/>
      <c r="B2600" s="67"/>
      <c r="C2600" s="67"/>
      <c r="D2600" s="67"/>
      <c r="E2600" s="67"/>
    </row>
    <row r="2601" spans="1:5" ht="14.25">
      <c r="A2601" s="67"/>
      <c r="B2601" s="67"/>
      <c r="C2601" s="67"/>
      <c r="D2601" s="67"/>
      <c r="E2601" s="67"/>
    </row>
    <row r="2602" spans="1:5" ht="14.25">
      <c r="A2602" s="67"/>
      <c r="B2602" s="67"/>
      <c r="C2602" s="67"/>
      <c r="D2602" s="67"/>
      <c r="E2602" s="67"/>
    </row>
    <row r="2603" spans="1:5" ht="14.25">
      <c r="A2603" s="67"/>
      <c r="B2603" s="67"/>
      <c r="C2603" s="67"/>
      <c r="D2603" s="67"/>
      <c r="E2603" s="67"/>
    </row>
    <row r="2604" spans="1:5" ht="14.25">
      <c r="A2604" s="67"/>
      <c r="B2604" s="67"/>
      <c r="C2604" s="67"/>
      <c r="D2604" s="67"/>
      <c r="E2604" s="67"/>
    </row>
    <row r="2605" spans="1:5" ht="14.25">
      <c r="A2605" s="67"/>
      <c r="B2605" s="67"/>
      <c r="C2605" s="67"/>
      <c r="D2605" s="67"/>
      <c r="E2605" s="67"/>
    </row>
    <row r="2606" spans="1:5" ht="14.25">
      <c r="A2606" s="67"/>
      <c r="B2606" s="67"/>
      <c r="C2606" s="67"/>
      <c r="D2606" s="67"/>
      <c r="E2606" s="67"/>
    </row>
    <row r="2607" spans="1:5" ht="14.25">
      <c r="A2607" s="67"/>
      <c r="B2607" s="67"/>
      <c r="C2607" s="67"/>
      <c r="D2607" s="67"/>
      <c r="E2607" s="67"/>
    </row>
    <row r="2608" spans="1:5" ht="14.25">
      <c r="A2608" s="67"/>
      <c r="B2608" s="67"/>
      <c r="C2608" s="67"/>
      <c r="D2608" s="67"/>
      <c r="E2608" s="67"/>
    </row>
    <row r="2609" spans="1:5" ht="14.25">
      <c r="A2609" s="67"/>
      <c r="B2609" s="67"/>
      <c r="C2609" s="67"/>
      <c r="D2609" s="67"/>
      <c r="E2609" s="67"/>
    </row>
    <row r="2610" spans="1:5" ht="14.25">
      <c r="A2610" s="67"/>
      <c r="B2610" s="67"/>
      <c r="C2610" s="67"/>
      <c r="D2610" s="67"/>
      <c r="E2610" s="67"/>
    </row>
    <row r="2611" spans="1:5" ht="14.25">
      <c r="A2611" s="67"/>
      <c r="B2611" s="67"/>
      <c r="C2611" s="67"/>
      <c r="D2611" s="67"/>
      <c r="E2611" s="67"/>
    </row>
    <row r="2612" spans="1:5" ht="14.25">
      <c r="A2612" s="67"/>
      <c r="B2612" s="67"/>
      <c r="C2612" s="67"/>
      <c r="D2612" s="67"/>
      <c r="E2612" s="67"/>
    </row>
    <row r="2613" spans="1:5" ht="14.25">
      <c r="A2613" s="67"/>
      <c r="B2613" s="67"/>
      <c r="C2613" s="67"/>
      <c r="D2613" s="67"/>
      <c r="E2613" s="67"/>
    </row>
    <row r="2614" spans="1:5" ht="14.25">
      <c r="A2614" s="67"/>
      <c r="B2614" s="67"/>
      <c r="C2614" s="67"/>
      <c r="D2614" s="67"/>
      <c r="E2614" s="67"/>
    </row>
    <row r="2615" spans="1:5" ht="14.25">
      <c r="A2615" s="67"/>
      <c r="B2615" s="67"/>
      <c r="C2615" s="67"/>
      <c r="D2615" s="67"/>
      <c r="E2615" s="67"/>
    </row>
    <row r="2616" spans="1:5" ht="14.25">
      <c r="A2616" s="67"/>
      <c r="B2616" s="67"/>
      <c r="C2616" s="67"/>
      <c r="D2616" s="67"/>
      <c r="E2616" s="67"/>
    </row>
    <row r="2617" spans="1:5" ht="14.25">
      <c r="A2617" s="67"/>
      <c r="B2617" s="67"/>
      <c r="C2617" s="67"/>
      <c r="D2617" s="67"/>
      <c r="E2617" s="67"/>
    </row>
    <row r="2618" spans="1:5" ht="14.25">
      <c r="A2618" s="67"/>
      <c r="B2618" s="67"/>
      <c r="C2618" s="67"/>
      <c r="D2618" s="67"/>
      <c r="E2618" s="67"/>
    </row>
    <row r="2619" spans="1:5" ht="14.25">
      <c r="A2619" s="67"/>
      <c r="B2619" s="67"/>
      <c r="C2619" s="67"/>
      <c r="D2619" s="67"/>
      <c r="E2619" s="67"/>
    </row>
    <row r="2620" spans="1:5" ht="14.25">
      <c r="A2620" s="67"/>
      <c r="B2620" s="67"/>
      <c r="C2620" s="67"/>
      <c r="D2620" s="67"/>
      <c r="E2620" s="67"/>
    </row>
    <row r="2621" spans="1:5" ht="14.25">
      <c r="A2621" s="67"/>
      <c r="B2621" s="67"/>
      <c r="C2621" s="67"/>
      <c r="D2621" s="67"/>
      <c r="E2621" s="67"/>
    </row>
    <row r="2622" spans="1:5" ht="14.25">
      <c r="A2622" s="67"/>
      <c r="B2622" s="67"/>
      <c r="C2622" s="67"/>
      <c r="D2622" s="67"/>
      <c r="E2622" s="67"/>
    </row>
    <row r="2623" spans="1:5" ht="14.25">
      <c r="A2623" s="67"/>
      <c r="B2623" s="67"/>
      <c r="C2623" s="67"/>
      <c r="D2623" s="67"/>
      <c r="E2623" s="67"/>
    </row>
    <row r="2624" spans="1:5" ht="14.25">
      <c r="A2624" s="67"/>
      <c r="B2624" s="67"/>
      <c r="C2624" s="67"/>
      <c r="D2624" s="67"/>
      <c r="E2624" s="67"/>
    </row>
    <row r="2625" spans="1:5" ht="14.25">
      <c r="A2625" s="67"/>
      <c r="B2625" s="67"/>
      <c r="C2625" s="67"/>
      <c r="D2625" s="67"/>
      <c r="E2625" s="67"/>
    </row>
    <row r="2626" spans="1:5" ht="14.25">
      <c r="A2626" s="67"/>
      <c r="B2626" s="67"/>
      <c r="C2626" s="67"/>
      <c r="D2626" s="67"/>
      <c r="E2626" s="67"/>
    </row>
    <row r="2627" spans="1:5" ht="14.25">
      <c r="A2627" s="67"/>
      <c r="B2627" s="67"/>
      <c r="C2627" s="67"/>
      <c r="D2627" s="67"/>
      <c r="E2627" s="67"/>
    </row>
    <row r="2628" spans="1:5" ht="14.25">
      <c r="A2628" s="67"/>
      <c r="B2628" s="67"/>
      <c r="C2628" s="67"/>
      <c r="D2628" s="67"/>
      <c r="E2628" s="67"/>
    </row>
    <row r="2629" spans="1:5" ht="14.25">
      <c r="A2629" s="67"/>
      <c r="B2629" s="67"/>
      <c r="C2629" s="67"/>
      <c r="D2629" s="67"/>
      <c r="E2629" s="67"/>
    </row>
    <row r="2630" spans="1:5" ht="14.25">
      <c r="A2630" s="67"/>
      <c r="B2630" s="67"/>
      <c r="C2630" s="67"/>
      <c r="D2630" s="67"/>
      <c r="E2630" s="67"/>
    </row>
    <row r="2631" spans="1:5" ht="14.25">
      <c r="A2631" s="67"/>
      <c r="B2631" s="67"/>
      <c r="C2631" s="67"/>
      <c r="D2631" s="67"/>
      <c r="E2631" s="67"/>
    </row>
    <row r="2632" spans="1:5" ht="14.25">
      <c r="A2632" s="67"/>
      <c r="B2632" s="67"/>
      <c r="C2632" s="67"/>
      <c r="D2632" s="67"/>
      <c r="E2632" s="67"/>
    </row>
    <row r="2633" spans="1:5" ht="14.25">
      <c r="A2633" s="67"/>
      <c r="B2633" s="67"/>
      <c r="C2633" s="67"/>
      <c r="D2633" s="67"/>
      <c r="E2633" s="67"/>
    </row>
    <row r="2634" spans="1:5" ht="14.25">
      <c r="A2634" s="67"/>
      <c r="B2634" s="67"/>
      <c r="C2634" s="67"/>
      <c r="D2634" s="67"/>
      <c r="E2634" s="67"/>
    </row>
    <row r="2635" spans="1:5" ht="14.25">
      <c r="A2635" s="67"/>
      <c r="B2635" s="67"/>
      <c r="C2635" s="67"/>
      <c r="D2635" s="67"/>
      <c r="E2635" s="67"/>
    </row>
    <row r="2636" spans="1:5" ht="14.25">
      <c r="A2636" s="67"/>
      <c r="B2636" s="67"/>
      <c r="C2636" s="67"/>
      <c r="D2636" s="67"/>
      <c r="E2636" s="67"/>
    </row>
    <row r="2637" spans="1:5" ht="14.25">
      <c r="A2637" s="67"/>
      <c r="B2637" s="67"/>
      <c r="C2637" s="67"/>
      <c r="D2637" s="67"/>
      <c r="E2637" s="67"/>
    </row>
    <row r="2638" spans="1:5" ht="14.25">
      <c r="A2638" s="67"/>
      <c r="B2638" s="67"/>
      <c r="C2638" s="67"/>
      <c r="D2638" s="67"/>
      <c r="E2638" s="67"/>
    </row>
    <row r="2639" spans="1:5" ht="14.25">
      <c r="A2639" s="67"/>
      <c r="B2639" s="67"/>
      <c r="C2639" s="67"/>
      <c r="D2639" s="67"/>
      <c r="E2639" s="67"/>
    </row>
    <row r="2640" spans="1:5" ht="14.25">
      <c r="A2640" s="67"/>
      <c r="B2640" s="67"/>
      <c r="C2640" s="67"/>
      <c r="D2640" s="67"/>
      <c r="E2640" s="67"/>
    </row>
    <row r="2641" spans="1:5" ht="14.25">
      <c r="A2641" s="67"/>
      <c r="B2641" s="67"/>
      <c r="C2641" s="67"/>
      <c r="D2641" s="67"/>
      <c r="E2641" s="67"/>
    </row>
    <row r="2642" spans="1:5" ht="14.25">
      <c r="A2642" s="67"/>
      <c r="B2642" s="67"/>
      <c r="C2642" s="67"/>
      <c r="D2642" s="67"/>
      <c r="E2642" s="67"/>
    </row>
    <row r="2643" spans="1:5" ht="14.25">
      <c r="A2643" s="67"/>
      <c r="B2643" s="67"/>
      <c r="C2643" s="67"/>
      <c r="D2643" s="67"/>
      <c r="E2643" s="67"/>
    </row>
    <row r="2644" spans="1:5" ht="14.25">
      <c r="A2644" s="67"/>
      <c r="B2644" s="67"/>
      <c r="C2644" s="67"/>
      <c r="D2644" s="67"/>
      <c r="E2644" s="67"/>
    </row>
    <row r="2645" spans="1:5" ht="14.25">
      <c r="A2645" s="67"/>
      <c r="B2645" s="67"/>
      <c r="C2645" s="67"/>
      <c r="D2645" s="67"/>
      <c r="E2645" s="67"/>
    </row>
    <row r="2646" spans="1:5" ht="14.25">
      <c r="A2646" s="67"/>
      <c r="B2646" s="67"/>
      <c r="C2646" s="67"/>
      <c r="D2646" s="67"/>
      <c r="E2646" s="67"/>
    </row>
    <row r="2647" spans="1:5" ht="14.25">
      <c r="A2647" s="67"/>
      <c r="B2647" s="67"/>
      <c r="C2647" s="67"/>
      <c r="D2647" s="67"/>
      <c r="E2647" s="67"/>
    </row>
    <row r="2648" spans="1:5" ht="14.25">
      <c r="A2648" s="67"/>
      <c r="B2648" s="67"/>
      <c r="C2648" s="67"/>
      <c r="D2648" s="67"/>
      <c r="E2648" s="67"/>
    </row>
    <row r="2649" spans="1:5" ht="14.25">
      <c r="A2649" s="67"/>
      <c r="B2649" s="67"/>
      <c r="C2649" s="67"/>
      <c r="D2649" s="67"/>
      <c r="E2649" s="67"/>
    </row>
    <row r="2650" spans="1:5" ht="14.25">
      <c r="A2650" s="67"/>
      <c r="B2650" s="67"/>
      <c r="C2650" s="67"/>
      <c r="D2650" s="67"/>
      <c r="E2650" s="67"/>
    </row>
    <row r="2651" spans="1:5" ht="14.25">
      <c r="A2651" s="67"/>
      <c r="B2651" s="67"/>
      <c r="C2651" s="67"/>
      <c r="D2651" s="67"/>
      <c r="E2651" s="67"/>
    </row>
    <row r="2652" spans="1:5" ht="14.25">
      <c r="A2652" s="67"/>
      <c r="B2652" s="67"/>
      <c r="C2652" s="67"/>
      <c r="D2652" s="67"/>
      <c r="E2652" s="67"/>
    </row>
    <row r="2653" spans="1:5" ht="14.25">
      <c r="A2653" s="67"/>
      <c r="B2653" s="67"/>
      <c r="C2653" s="67"/>
      <c r="D2653" s="67"/>
      <c r="E2653" s="67"/>
    </row>
    <row r="2654" spans="1:5" ht="14.25">
      <c r="A2654" s="67"/>
      <c r="B2654" s="67"/>
      <c r="C2654" s="67"/>
      <c r="D2654" s="67"/>
      <c r="E2654" s="67"/>
    </row>
    <row r="2655" spans="1:5" ht="14.25">
      <c r="A2655" s="67"/>
      <c r="B2655" s="67"/>
      <c r="C2655" s="67"/>
      <c r="D2655" s="67"/>
      <c r="E2655" s="67"/>
    </row>
    <row r="2656" spans="1:5" ht="14.25">
      <c r="A2656" s="67"/>
      <c r="B2656" s="67"/>
      <c r="C2656" s="67"/>
      <c r="D2656" s="67"/>
      <c r="E2656" s="67"/>
    </row>
    <row r="2657" spans="1:5" ht="14.25">
      <c r="A2657" s="67"/>
      <c r="B2657" s="67"/>
      <c r="C2657" s="67"/>
      <c r="D2657" s="67"/>
      <c r="E2657" s="67"/>
    </row>
    <row r="2658" spans="1:5" ht="14.25">
      <c r="A2658" s="67"/>
      <c r="B2658" s="67"/>
      <c r="C2658" s="67"/>
      <c r="D2658" s="67"/>
      <c r="E2658" s="67"/>
    </row>
    <row r="2659" spans="1:5" ht="14.25">
      <c r="A2659" s="67"/>
      <c r="B2659" s="67"/>
      <c r="C2659" s="67"/>
      <c r="D2659" s="67"/>
      <c r="E2659" s="67"/>
    </row>
    <row r="2660" spans="1:5" ht="14.25">
      <c r="A2660" s="67"/>
      <c r="B2660" s="67"/>
      <c r="C2660" s="67"/>
      <c r="D2660" s="67"/>
      <c r="E2660" s="67"/>
    </row>
    <row r="2661" spans="1:5" ht="14.25">
      <c r="A2661" s="67"/>
      <c r="B2661" s="67"/>
      <c r="C2661" s="67"/>
      <c r="D2661" s="67"/>
      <c r="E2661" s="67"/>
    </row>
    <row r="2662" spans="1:5" ht="14.25">
      <c r="A2662" s="67"/>
      <c r="B2662" s="67"/>
      <c r="C2662" s="67"/>
      <c r="D2662" s="67"/>
      <c r="E2662" s="67"/>
    </row>
    <row r="2663" spans="1:5" ht="14.25">
      <c r="A2663" s="67"/>
      <c r="B2663" s="67"/>
      <c r="C2663" s="67"/>
      <c r="D2663" s="67"/>
      <c r="E2663" s="67"/>
    </row>
    <row r="2664" spans="1:5" ht="14.25">
      <c r="A2664" s="67"/>
      <c r="B2664" s="67"/>
      <c r="C2664" s="67"/>
      <c r="D2664" s="67"/>
      <c r="E2664" s="67"/>
    </row>
    <row r="2665" spans="1:5" ht="14.25">
      <c r="A2665" s="67"/>
      <c r="B2665" s="67"/>
      <c r="C2665" s="67"/>
      <c r="D2665" s="67"/>
      <c r="E2665" s="67"/>
    </row>
    <row r="2666" spans="1:5" ht="14.25">
      <c r="A2666" s="67"/>
      <c r="B2666" s="67"/>
      <c r="C2666" s="67"/>
      <c r="D2666" s="67"/>
      <c r="E2666" s="67"/>
    </row>
    <row r="2667" spans="1:5" ht="14.25">
      <c r="A2667" s="67"/>
      <c r="B2667" s="67"/>
      <c r="C2667" s="67"/>
      <c r="D2667" s="67"/>
      <c r="E2667" s="67"/>
    </row>
    <row r="2668" spans="1:5" ht="14.25">
      <c r="A2668" s="67"/>
      <c r="B2668" s="67"/>
      <c r="C2668" s="67"/>
      <c r="D2668" s="67"/>
      <c r="E2668" s="67"/>
    </row>
    <row r="2669" spans="1:5" ht="14.25">
      <c r="A2669" s="67"/>
      <c r="B2669" s="67"/>
      <c r="C2669" s="67"/>
      <c r="D2669" s="67"/>
      <c r="E2669" s="67"/>
    </row>
    <row r="2670" spans="1:5" ht="14.25">
      <c r="A2670" s="67"/>
      <c r="B2670" s="67"/>
      <c r="C2670" s="67"/>
      <c r="D2670" s="67"/>
      <c r="E2670" s="67"/>
    </row>
    <row r="2671" spans="1:5" ht="14.25">
      <c r="A2671" s="67"/>
      <c r="B2671" s="67"/>
      <c r="C2671" s="67"/>
      <c r="D2671" s="67"/>
      <c r="E2671" s="67"/>
    </row>
    <row r="2672" spans="1:5" ht="14.25">
      <c r="A2672" s="67"/>
      <c r="B2672" s="67"/>
      <c r="C2672" s="67"/>
      <c r="D2672" s="67"/>
      <c r="E2672" s="67"/>
    </row>
    <row r="2673" spans="1:5" ht="14.25">
      <c r="A2673" s="67"/>
      <c r="B2673" s="67"/>
      <c r="C2673" s="67"/>
      <c r="D2673" s="67"/>
      <c r="E2673" s="67"/>
    </row>
    <row r="2674" spans="1:5" ht="14.25">
      <c r="A2674" s="67"/>
      <c r="B2674" s="67"/>
      <c r="C2674" s="67"/>
      <c r="D2674" s="67"/>
      <c r="E2674" s="67"/>
    </row>
    <row r="2675" spans="1:5" ht="14.25">
      <c r="A2675" s="67"/>
      <c r="B2675" s="67"/>
      <c r="C2675" s="67"/>
      <c r="D2675" s="67"/>
      <c r="E2675" s="67"/>
    </row>
    <row r="2676" spans="1:5" ht="14.25">
      <c r="A2676" s="67"/>
      <c r="B2676" s="67"/>
      <c r="C2676" s="67"/>
      <c r="D2676" s="67"/>
      <c r="E2676" s="67"/>
    </row>
    <row r="2677" spans="1:5" ht="14.25">
      <c r="A2677" s="67"/>
      <c r="B2677" s="67"/>
      <c r="C2677" s="67"/>
      <c r="D2677" s="67"/>
      <c r="E2677" s="67"/>
    </row>
    <row r="2678" spans="1:5" ht="14.25">
      <c r="A2678" s="67"/>
      <c r="B2678" s="67"/>
      <c r="C2678" s="67"/>
      <c r="D2678" s="67"/>
      <c r="E2678" s="67"/>
    </row>
    <row r="2679" spans="1:5" ht="14.25">
      <c r="A2679" s="67"/>
      <c r="B2679" s="67"/>
      <c r="C2679" s="67"/>
      <c r="D2679" s="67"/>
      <c r="E2679" s="67"/>
    </row>
    <row r="2680" spans="1:5" ht="14.25">
      <c r="A2680" s="67"/>
      <c r="B2680" s="67"/>
      <c r="C2680" s="67"/>
      <c r="D2680" s="67"/>
      <c r="E2680" s="67"/>
    </row>
    <row r="2681" spans="1:5" ht="14.25">
      <c r="A2681" s="67"/>
      <c r="B2681" s="67"/>
      <c r="C2681" s="67"/>
      <c r="D2681" s="67"/>
      <c r="E2681" s="67"/>
    </row>
    <row r="2682" spans="1:5" ht="14.25">
      <c r="A2682" s="67"/>
      <c r="B2682" s="67"/>
      <c r="C2682" s="67"/>
      <c r="D2682" s="67"/>
      <c r="E2682" s="67"/>
    </row>
    <row r="2683" spans="1:5" ht="14.25">
      <c r="A2683" s="67"/>
      <c r="B2683" s="67"/>
      <c r="C2683" s="67"/>
      <c r="D2683" s="67"/>
      <c r="E2683" s="67"/>
    </row>
    <row r="2684" spans="1:5" ht="14.25">
      <c r="A2684" s="67"/>
      <c r="B2684" s="67"/>
      <c r="C2684" s="67"/>
      <c r="D2684" s="67"/>
      <c r="E2684" s="67"/>
    </row>
    <row r="2685" spans="1:5" ht="14.25">
      <c r="A2685" s="67"/>
      <c r="B2685" s="67"/>
      <c r="C2685" s="67"/>
      <c r="D2685" s="67"/>
      <c r="E2685" s="67"/>
    </row>
    <row r="2686" spans="1:5" ht="14.25">
      <c r="A2686" s="67"/>
      <c r="B2686" s="67"/>
      <c r="C2686" s="67"/>
      <c r="D2686" s="67"/>
      <c r="E2686" s="67"/>
    </row>
    <row r="2687" spans="1:5" ht="14.25">
      <c r="A2687" s="67"/>
      <c r="B2687" s="67"/>
      <c r="C2687" s="67"/>
      <c r="D2687" s="67"/>
      <c r="E2687" s="67"/>
    </row>
    <row r="2688" spans="1:5" ht="14.25">
      <c r="A2688" s="67"/>
      <c r="B2688" s="67"/>
      <c r="C2688" s="67"/>
      <c r="D2688" s="67"/>
      <c r="E2688" s="67"/>
    </row>
    <row r="2689" spans="1:5" ht="14.25">
      <c r="A2689" s="67"/>
      <c r="B2689" s="67"/>
      <c r="C2689" s="67"/>
      <c r="D2689" s="67"/>
      <c r="E2689" s="67"/>
    </row>
    <row r="2690" spans="1:5" ht="14.25">
      <c r="A2690" s="67"/>
      <c r="B2690" s="67"/>
      <c r="C2690" s="67"/>
      <c r="D2690" s="67"/>
      <c r="E2690" s="67"/>
    </row>
    <row r="2691" spans="1:5" ht="14.25">
      <c r="A2691" s="67"/>
      <c r="B2691" s="67"/>
      <c r="C2691" s="67"/>
      <c r="D2691" s="67"/>
      <c r="E2691" s="67"/>
    </row>
    <row r="2692" spans="1:5" ht="14.25">
      <c r="A2692" s="67"/>
      <c r="B2692" s="67"/>
      <c r="C2692" s="67"/>
      <c r="D2692" s="67"/>
      <c r="E2692" s="67"/>
    </row>
    <row r="2693" spans="1:5" ht="14.25">
      <c r="A2693" s="67"/>
      <c r="B2693" s="67"/>
      <c r="C2693" s="67"/>
      <c r="D2693" s="67"/>
      <c r="E2693" s="67"/>
    </row>
    <row r="2694" spans="1:5" ht="14.25">
      <c r="A2694" s="67"/>
      <c r="B2694" s="67"/>
      <c r="C2694" s="67"/>
      <c r="D2694" s="67"/>
      <c r="E2694" s="67"/>
    </row>
    <row r="2695" spans="1:5" ht="14.25">
      <c r="A2695" s="67"/>
      <c r="B2695" s="67"/>
      <c r="C2695" s="67"/>
      <c r="D2695" s="67"/>
      <c r="E2695" s="67"/>
    </row>
    <row r="2696" spans="1:5" ht="14.25">
      <c r="A2696" s="67"/>
      <c r="B2696" s="67"/>
      <c r="C2696" s="67"/>
      <c r="D2696" s="67"/>
      <c r="E2696" s="67"/>
    </row>
    <row r="2697" spans="1:5" ht="14.25">
      <c r="A2697" s="67"/>
      <c r="B2697" s="67"/>
      <c r="C2697" s="67"/>
      <c r="D2697" s="67"/>
      <c r="E2697" s="67"/>
    </row>
    <row r="2698" spans="1:5" ht="14.25">
      <c r="A2698" s="67"/>
      <c r="B2698" s="67"/>
      <c r="C2698" s="67"/>
      <c r="D2698" s="67"/>
      <c r="E2698" s="67"/>
    </row>
    <row r="2699" spans="1:5" ht="14.25">
      <c r="A2699" s="67"/>
      <c r="B2699" s="67"/>
      <c r="C2699" s="67"/>
      <c r="D2699" s="67"/>
      <c r="E2699" s="67"/>
    </row>
    <row r="2700" spans="1:5" ht="14.25">
      <c r="A2700" s="67"/>
      <c r="B2700" s="67"/>
      <c r="C2700" s="67"/>
      <c r="D2700" s="67"/>
      <c r="E2700" s="67"/>
    </row>
    <row r="2701" spans="1:5" ht="14.25">
      <c r="A2701" s="67"/>
      <c r="B2701" s="67"/>
      <c r="C2701" s="67"/>
      <c r="D2701" s="67"/>
      <c r="E2701" s="67"/>
    </row>
    <row r="2702" spans="1:5" ht="14.25">
      <c r="A2702" s="67"/>
      <c r="B2702" s="67"/>
      <c r="C2702" s="67"/>
      <c r="D2702" s="67"/>
      <c r="E2702" s="67"/>
    </row>
    <row r="2703" spans="1:5" ht="14.25">
      <c r="A2703" s="67"/>
      <c r="B2703" s="67"/>
      <c r="C2703" s="67"/>
      <c r="D2703" s="67"/>
      <c r="E2703" s="67"/>
    </row>
    <row r="2704" spans="1:5" ht="14.25">
      <c r="A2704" s="67"/>
      <c r="B2704" s="67"/>
      <c r="C2704" s="67"/>
      <c r="D2704" s="67"/>
      <c r="E2704" s="67"/>
    </row>
    <row r="2705" spans="1:5" ht="14.25">
      <c r="A2705" s="67"/>
      <c r="B2705" s="67"/>
      <c r="C2705" s="67"/>
      <c r="D2705" s="67"/>
      <c r="E2705" s="67"/>
    </row>
    <row r="2706" spans="1:5" ht="14.25">
      <c r="A2706" s="67"/>
      <c r="B2706" s="67"/>
      <c r="C2706" s="67"/>
      <c r="D2706" s="67"/>
      <c r="E2706" s="67"/>
    </row>
    <row r="2707" spans="1:5" ht="14.25">
      <c r="A2707" s="67"/>
      <c r="B2707" s="67"/>
      <c r="C2707" s="67"/>
      <c r="D2707" s="67"/>
      <c r="E2707" s="67"/>
    </row>
    <row r="2708" spans="1:5" ht="14.25">
      <c r="A2708" s="67"/>
      <c r="B2708" s="67"/>
      <c r="C2708" s="67"/>
      <c r="D2708" s="67"/>
      <c r="E2708" s="67"/>
    </row>
    <row r="2709" spans="1:5" ht="14.25">
      <c r="A2709" s="67"/>
      <c r="B2709" s="67"/>
      <c r="C2709" s="67"/>
      <c r="D2709" s="67"/>
      <c r="E2709" s="67"/>
    </row>
    <row r="2710" spans="1:5" ht="14.25">
      <c r="A2710" s="67"/>
      <c r="B2710" s="67"/>
      <c r="C2710" s="67"/>
      <c r="D2710" s="67"/>
      <c r="E2710" s="67"/>
    </row>
    <row r="2711" spans="1:5" ht="14.25">
      <c r="A2711" s="67"/>
      <c r="B2711" s="67"/>
      <c r="C2711" s="67"/>
      <c r="D2711" s="67"/>
      <c r="E2711" s="67"/>
    </row>
    <row r="2712" spans="1:5" ht="14.25">
      <c r="A2712" s="67"/>
      <c r="B2712" s="67"/>
      <c r="C2712" s="67"/>
      <c r="D2712" s="67"/>
      <c r="E2712" s="67"/>
    </row>
    <row r="2713" spans="1:5" ht="14.25">
      <c r="A2713" s="67"/>
      <c r="B2713" s="67"/>
      <c r="C2713" s="67"/>
      <c r="D2713" s="67"/>
      <c r="E2713" s="67"/>
    </row>
    <row r="2714" spans="1:5" ht="14.25">
      <c r="A2714" s="67"/>
      <c r="B2714" s="67"/>
      <c r="C2714" s="67"/>
      <c r="D2714" s="67"/>
      <c r="E2714" s="67"/>
    </row>
    <row r="2715" spans="1:5" ht="14.25">
      <c r="A2715" s="67"/>
      <c r="B2715" s="67"/>
      <c r="C2715" s="67"/>
      <c r="D2715" s="67"/>
      <c r="E2715" s="67"/>
    </row>
    <row r="2716" spans="1:5" ht="14.25">
      <c r="A2716" s="67"/>
      <c r="B2716" s="67"/>
      <c r="C2716" s="67"/>
      <c r="D2716" s="67"/>
      <c r="E2716" s="67"/>
    </row>
    <row r="2717" spans="1:5" ht="14.25">
      <c r="A2717" s="67"/>
      <c r="B2717" s="67"/>
      <c r="C2717" s="67"/>
      <c r="D2717" s="67"/>
      <c r="E2717" s="67"/>
    </row>
    <row r="2718" spans="1:5" ht="14.25">
      <c r="A2718" s="67"/>
      <c r="B2718" s="67"/>
      <c r="C2718" s="67"/>
      <c r="D2718" s="67"/>
      <c r="E2718" s="67"/>
    </row>
    <row r="2719" spans="1:5" ht="14.25">
      <c r="A2719" s="67"/>
      <c r="B2719" s="67"/>
      <c r="C2719" s="67"/>
      <c r="D2719" s="67"/>
      <c r="E2719" s="67"/>
    </row>
    <row r="2720" spans="1:5" ht="14.25">
      <c r="A2720" s="67"/>
      <c r="B2720" s="67"/>
      <c r="C2720" s="67"/>
      <c r="D2720" s="67"/>
      <c r="E2720" s="67"/>
    </row>
    <row r="2721" spans="1:5" ht="14.25">
      <c r="A2721" s="67"/>
      <c r="B2721" s="67"/>
      <c r="C2721" s="67"/>
      <c r="D2721" s="67"/>
      <c r="E2721" s="67"/>
    </row>
    <row r="2722" spans="1:5" ht="14.25">
      <c r="A2722" s="67"/>
      <c r="B2722" s="67"/>
      <c r="C2722" s="67"/>
      <c r="D2722" s="67"/>
      <c r="E2722" s="67"/>
    </row>
    <row r="2723" spans="1:5" ht="14.25">
      <c r="A2723" s="67"/>
      <c r="B2723" s="67"/>
      <c r="C2723" s="67"/>
      <c r="D2723" s="67"/>
      <c r="E2723" s="67"/>
    </row>
    <row r="2724" spans="1:5" ht="14.25">
      <c r="A2724" s="67"/>
      <c r="B2724" s="67"/>
      <c r="C2724" s="67"/>
      <c r="D2724" s="67"/>
      <c r="E2724" s="67"/>
    </row>
    <row r="2725" spans="1:5" ht="14.25">
      <c r="A2725" s="67"/>
      <c r="B2725" s="67"/>
      <c r="C2725" s="67"/>
      <c r="D2725" s="67"/>
      <c r="E2725" s="67"/>
    </row>
    <row r="2726" spans="1:5" ht="14.25">
      <c r="A2726" s="67"/>
      <c r="B2726" s="67"/>
      <c r="C2726" s="67"/>
      <c r="D2726" s="67"/>
      <c r="E2726" s="67"/>
    </row>
    <row r="2727" spans="1:5" ht="14.25">
      <c r="A2727" s="67"/>
      <c r="B2727" s="67"/>
      <c r="C2727" s="67"/>
      <c r="D2727" s="67"/>
      <c r="E2727" s="67"/>
    </row>
    <row r="2728" spans="1:5" ht="14.25">
      <c r="A2728" s="67"/>
      <c r="B2728" s="67"/>
      <c r="C2728" s="67"/>
      <c r="D2728" s="67"/>
      <c r="E2728" s="67"/>
    </row>
    <row r="2729" spans="1:5" ht="14.25">
      <c r="A2729" s="67"/>
      <c r="B2729" s="67"/>
      <c r="C2729" s="67"/>
      <c r="D2729" s="67"/>
      <c r="E2729" s="67"/>
    </row>
    <row r="2730" spans="1:5" ht="14.25">
      <c r="A2730" s="67"/>
      <c r="B2730" s="67"/>
      <c r="C2730" s="67"/>
      <c r="D2730" s="67"/>
      <c r="E2730" s="67"/>
    </row>
    <row r="2731" spans="1:5" ht="14.25">
      <c r="A2731" s="67"/>
      <c r="B2731" s="67"/>
      <c r="C2731" s="67"/>
      <c r="D2731" s="67"/>
      <c r="E2731" s="67"/>
    </row>
    <row r="2732" spans="1:5" ht="14.25">
      <c r="A2732" s="67"/>
      <c r="B2732" s="67"/>
      <c r="C2732" s="67"/>
      <c r="D2732" s="67"/>
      <c r="E2732" s="67"/>
    </row>
    <row r="2733" spans="1:5" ht="14.25">
      <c r="A2733" s="67"/>
      <c r="B2733" s="67"/>
      <c r="C2733" s="67"/>
      <c r="D2733" s="67"/>
      <c r="E2733" s="67"/>
    </row>
    <row r="2734" spans="1:5" ht="14.25">
      <c r="A2734" s="67"/>
      <c r="B2734" s="67"/>
      <c r="C2734" s="67"/>
      <c r="D2734" s="67"/>
      <c r="E2734" s="67"/>
    </row>
    <row r="2735" spans="1:5" ht="14.25">
      <c r="A2735" s="67"/>
      <c r="B2735" s="67"/>
      <c r="C2735" s="67"/>
      <c r="D2735" s="67"/>
      <c r="E2735" s="67"/>
    </row>
    <row r="2736" spans="1:5" ht="14.25">
      <c r="A2736" s="67"/>
      <c r="B2736" s="67"/>
      <c r="C2736" s="67"/>
      <c r="D2736" s="67"/>
      <c r="E2736" s="67"/>
    </row>
    <row r="2737" spans="1:5" ht="14.25">
      <c r="A2737" s="67"/>
      <c r="B2737" s="67"/>
      <c r="C2737" s="67"/>
      <c r="D2737" s="67"/>
      <c r="E2737" s="67"/>
    </row>
    <row r="2738" spans="1:5" ht="14.25">
      <c r="A2738" s="67"/>
      <c r="B2738" s="67"/>
      <c r="C2738" s="67"/>
      <c r="D2738" s="67"/>
      <c r="E2738" s="67"/>
    </row>
    <row r="2739" spans="1:5" ht="14.25">
      <c r="A2739" s="67"/>
      <c r="B2739" s="67"/>
      <c r="C2739" s="67"/>
      <c r="D2739" s="67"/>
      <c r="E2739" s="67"/>
    </row>
    <row r="2740" spans="1:5" ht="14.25">
      <c r="A2740" s="67"/>
      <c r="B2740" s="67"/>
      <c r="C2740" s="67"/>
      <c r="D2740" s="67"/>
      <c r="E2740" s="67"/>
    </row>
    <row r="2741" spans="1:5" ht="14.25">
      <c r="A2741" s="67"/>
      <c r="B2741" s="67"/>
      <c r="C2741" s="67"/>
      <c r="D2741" s="67"/>
      <c r="E2741" s="67"/>
    </row>
    <row r="2742" spans="1:5" ht="14.25">
      <c r="A2742" s="67"/>
      <c r="B2742" s="67"/>
      <c r="C2742" s="67"/>
      <c r="D2742" s="67"/>
      <c r="E2742" s="67"/>
    </row>
    <row r="2743" spans="1:5" ht="14.25">
      <c r="A2743" s="67"/>
      <c r="B2743" s="67"/>
      <c r="C2743" s="67"/>
      <c r="D2743" s="67"/>
      <c r="E2743" s="67"/>
    </row>
    <row r="2744" spans="1:5" ht="14.25">
      <c r="A2744" s="67"/>
      <c r="B2744" s="67"/>
      <c r="C2744" s="67"/>
      <c r="D2744" s="67"/>
      <c r="E2744" s="67"/>
    </row>
    <row r="2745" spans="1:5" ht="14.25">
      <c r="A2745" s="67"/>
      <c r="B2745" s="67"/>
      <c r="C2745" s="67"/>
      <c r="D2745" s="67"/>
      <c r="E2745" s="67"/>
    </row>
    <row r="2746" spans="1:5" ht="14.25">
      <c r="A2746" s="67"/>
      <c r="B2746" s="67"/>
      <c r="C2746" s="67"/>
      <c r="D2746" s="67"/>
      <c r="E2746" s="67"/>
    </row>
    <row r="2747" spans="1:5" ht="14.25">
      <c r="A2747" s="67"/>
      <c r="B2747" s="67"/>
      <c r="C2747" s="67"/>
      <c r="D2747" s="67"/>
      <c r="E2747" s="67"/>
    </row>
    <row r="2748" spans="1:5" ht="14.25">
      <c r="A2748" s="67"/>
      <c r="B2748" s="67"/>
      <c r="C2748" s="67"/>
      <c r="D2748" s="67"/>
      <c r="E2748" s="67"/>
    </row>
    <row r="2749" spans="1:5" ht="14.25">
      <c r="A2749" s="67"/>
      <c r="B2749" s="67"/>
      <c r="C2749" s="67"/>
      <c r="D2749" s="67"/>
      <c r="E2749" s="67"/>
    </row>
    <row r="2750" spans="1:5" ht="14.25">
      <c r="A2750" s="67"/>
      <c r="B2750" s="67"/>
      <c r="C2750" s="67"/>
      <c r="D2750" s="67"/>
      <c r="E2750" s="67"/>
    </row>
    <row r="2751" spans="1:5" ht="14.25">
      <c r="A2751" s="67"/>
      <c r="B2751" s="67"/>
      <c r="C2751" s="67"/>
      <c r="D2751" s="67"/>
      <c r="E2751" s="67"/>
    </row>
    <row r="2752" spans="1:5" ht="14.25">
      <c r="A2752" s="67"/>
      <c r="B2752" s="67"/>
      <c r="C2752" s="67"/>
      <c r="D2752" s="67"/>
      <c r="E2752" s="67"/>
    </row>
    <row r="2753" spans="1:5" ht="14.25">
      <c r="A2753" s="67"/>
      <c r="B2753" s="67"/>
      <c r="C2753" s="67"/>
      <c r="D2753" s="67"/>
      <c r="E2753" s="67"/>
    </row>
    <row r="2754" spans="1:5" ht="14.25">
      <c r="A2754" s="67"/>
      <c r="B2754" s="67"/>
      <c r="C2754" s="67"/>
      <c r="D2754" s="67"/>
      <c r="E2754" s="67"/>
    </row>
    <row r="2755" spans="1:5" ht="14.25">
      <c r="A2755" s="67"/>
      <c r="B2755" s="67"/>
      <c r="C2755" s="67"/>
      <c r="D2755" s="67"/>
      <c r="E2755" s="67"/>
    </row>
    <row r="2756" spans="1:5" ht="14.25">
      <c r="A2756" s="67"/>
      <c r="B2756" s="67"/>
      <c r="C2756" s="67"/>
      <c r="D2756" s="67"/>
      <c r="E2756" s="67"/>
    </row>
    <row r="2757" spans="1:5" ht="14.25">
      <c r="A2757" s="67"/>
      <c r="B2757" s="67"/>
      <c r="C2757" s="67"/>
      <c r="D2757" s="67"/>
      <c r="E2757" s="67"/>
    </row>
    <row r="2758" spans="1:5" ht="14.25">
      <c r="A2758" s="67"/>
      <c r="B2758" s="67"/>
      <c r="C2758" s="67"/>
      <c r="D2758" s="67"/>
      <c r="E2758" s="67"/>
    </row>
    <row r="2759" spans="1:5" ht="14.25">
      <c r="A2759" s="67"/>
      <c r="B2759" s="67"/>
      <c r="C2759" s="67"/>
      <c r="D2759" s="67"/>
      <c r="E2759" s="67"/>
    </row>
    <row r="2760" spans="1:5" ht="14.25">
      <c r="A2760" s="67"/>
      <c r="B2760" s="67"/>
      <c r="C2760" s="67"/>
      <c r="D2760" s="67"/>
      <c r="E2760" s="67"/>
    </row>
    <row r="2761" spans="1:5" ht="14.25">
      <c r="A2761" s="67"/>
      <c r="B2761" s="67"/>
      <c r="C2761" s="67"/>
      <c r="D2761" s="67"/>
      <c r="E2761" s="67"/>
    </row>
    <row r="2762" spans="1:5" ht="14.25">
      <c r="A2762" s="67"/>
      <c r="B2762" s="67"/>
      <c r="C2762" s="67"/>
      <c r="D2762" s="67"/>
      <c r="E2762" s="67"/>
    </row>
    <row r="2763" spans="1:5" ht="14.25">
      <c r="A2763" s="67"/>
      <c r="B2763" s="67"/>
      <c r="C2763" s="67"/>
      <c r="D2763" s="67"/>
      <c r="E2763" s="67"/>
    </row>
    <row r="2764" spans="1:5" ht="14.25">
      <c r="A2764" s="67"/>
      <c r="B2764" s="67"/>
      <c r="C2764" s="67"/>
      <c r="D2764" s="67"/>
      <c r="E2764" s="67"/>
    </row>
    <row r="2765" spans="1:5" ht="14.25">
      <c r="A2765" s="67"/>
      <c r="B2765" s="67"/>
      <c r="C2765" s="67"/>
      <c r="D2765" s="67"/>
      <c r="E2765" s="67"/>
    </row>
    <row r="2766" spans="1:5" ht="14.25">
      <c r="A2766" s="67"/>
      <c r="B2766" s="67"/>
      <c r="C2766" s="67"/>
      <c r="D2766" s="67"/>
      <c r="E2766" s="67"/>
    </row>
    <row r="2767" spans="1:5" ht="14.25">
      <c r="A2767" s="67"/>
      <c r="B2767" s="67"/>
      <c r="C2767" s="67"/>
      <c r="D2767" s="67"/>
      <c r="E2767" s="67"/>
    </row>
    <row r="2768" spans="1:5" ht="14.25">
      <c r="A2768" s="67"/>
      <c r="B2768" s="67"/>
      <c r="C2768" s="67"/>
      <c r="D2768" s="67"/>
      <c r="E2768" s="67"/>
    </row>
    <row r="2769" spans="1:5" ht="14.25">
      <c r="A2769" s="67"/>
      <c r="B2769" s="67"/>
      <c r="C2769" s="67"/>
      <c r="D2769" s="67"/>
      <c r="E2769" s="67"/>
    </row>
    <row r="2770" spans="1:5" ht="14.25">
      <c r="A2770" s="67"/>
      <c r="B2770" s="67"/>
      <c r="C2770" s="67"/>
      <c r="D2770" s="67"/>
      <c r="E2770" s="67"/>
    </row>
    <row r="2771" spans="1:5" ht="14.25">
      <c r="A2771" s="67"/>
      <c r="B2771" s="67"/>
      <c r="C2771" s="67"/>
      <c r="D2771" s="67"/>
      <c r="E2771" s="67"/>
    </row>
    <row r="2772" spans="1:5" ht="14.25">
      <c r="A2772" s="67"/>
      <c r="B2772" s="67"/>
      <c r="C2772" s="67"/>
      <c r="D2772" s="67"/>
      <c r="E2772" s="67"/>
    </row>
    <row r="2773" spans="1:5" ht="14.25">
      <c r="A2773" s="67"/>
      <c r="B2773" s="67"/>
      <c r="C2773" s="67"/>
      <c r="D2773" s="67"/>
      <c r="E2773" s="67"/>
    </row>
    <row r="2774" spans="1:5" ht="14.25">
      <c r="A2774" s="67"/>
      <c r="B2774" s="67"/>
      <c r="C2774" s="67"/>
      <c r="D2774" s="67"/>
      <c r="E2774" s="67"/>
    </row>
    <row r="2775" spans="1:5" ht="14.25">
      <c r="A2775" s="67"/>
      <c r="B2775" s="67"/>
      <c r="C2775" s="67"/>
      <c r="D2775" s="67"/>
      <c r="E2775" s="67"/>
    </row>
    <row r="2776" spans="1:5" ht="14.25">
      <c r="A2776" s="67"/>
      <c r="B2776" s="67"/>
      <c r="C2776" s="67"/>
      <c r="D2776" s="67"/>
      <c r="E2776" s="67"/>
    </row>
    <row r="2777" spans="1:5" ht="14.25">
      <c r="A2777" s="67"/>
      <c r="B2777" s="67"/>
      <c r="C2777" s="67"/>
      <c r="D2777" s="67"/>
      <c r="E2777" s="67"/>
    </row>
    <row r="2778" spans="1:5" ht="14.25">
      <c r="A2778" s="67"/>
      <c r="B2778" s="67"/>
      <c r="C2778" s="67"/>
      <c r="D2778" s="67"/>
      <c r="E2778" s="67"/>
    </row>
    <row r="2779" spans="1:5" ht="14.25">
      <c r="A2779" s="67"/>
      <c r="B2779" s="67"/>
      <c r="C2779" s="67"/>
      <c r="D2779" s="67"/>
      <c r="E2779" s="67"/>
    </row>
    <row r="2780" spans="1:5" ht="14.25">
      <c r="A2780" s="67"/>
      <c r="B2780" s="67"/>
      <c r="C2780" s="67"/>
      <c r="D2780" s="67"/>
      <c r="E2780" s="67"/>
    </row>
    <row r="2781" spans="1:5" ht="14.25">
      <c r="A2781" s="67"/>
      <c r="B2781" s="67"/>
      <c r="C2781" s="67"/>
      <c r="D2781" s="67"/>
      <c r="E2781" s="67"/>
    </row>
    <row r="2782" spans="1:5" ht="14.25">
      <c r="A2782" s="67"/>
      <c r="B2782" s="67"/>
      <c r="C2782" s="67"/>
      <c r="D2782" s="67"/>
      <c r="E2782" s="67"/>
    </row>
    <row r="2783" spans="1:5" ht="14.25">
      <c r="A2783" s="67"/>
      <c r="B2783" s="67"/>
      <c r="C2783" s="67"/>
      <c r="D2783" s="67"/>
      <c r="E2783" s="67"/>
    </row>
    <row r="2784" spans="1:5" ht="14.25">
      <c r="A2784" s="67"/>
      <c r="B2784" s="67"/>
      <c r="C2784" s="67"/>
      <c r="D2784" s="67"/>
      <c r="E2784" s="67"/>
    </row>
    <row r="2785" spans="1:5" ht="14.25">
      <c r="A2785" s="67"/>
      <c r="B2785" s="67"/>
      <c r="C2785" s="67"/>
      <c r="D2785" s="67"/>
      <c r="E2785" s="67"/>
    </row>
    <row r="2786" spans="1:5" ht="14.25">
      <c r="A2786" s="67"/>
      <c r="B2786" s="67"/>
      <c r="C2786" s="67"/>
      <c r="D2786" s="67"/>
      <c r="E2786" s="67"/>
    </row>
    <row r="2787" spans="1:5" ht="14.25">
      <c r="A2787" s="67"/>
      <c r="B2787" s="67"/>
      <c r="C2787" s="67"/>
      <c r="D2787" s="67"/>
      <c r="E2787" s="67"/>
    </row>
    <row r="2788" spans="1:5" ht="14.25">
      <c r="A2788" s="67"/>
      <c r="B2788" s="67"/>
      <c r="C2788" s="67"/>
      <c r="D2788" s="67"/>
      <c r="E2788" s="67"/>
    </row>
    <row r="2789" spans="1:5" ht="14.25">
      <c r="A2789" s="67"/>
      <c r="B2789" s="67"/>
      <c r="C2789" s="67"/>
      <c r="D2789" s="67"/>
      <c r="E2789" s="67"/>
    </row>
    <row r="2790" spans="1:5" ht="14.25">
      <c r="A2790" s="67"/>
      <c r="B2790" s="67"/>
      <c r="C2790" s="67"/>
      <c r="D2790" s="67"/>
      <c r="E2790" s="67"/>
    </row>
    <row r="2791" spans="1:5" ht="14.25">
      <c r="A2791" s="67"/>
      <c r="B2791" s="67"/>
      <c r="C2791" s="67"/>
      <c r="D2791" s="67"/>
      <c r="E2791" s="67"/>
    </row>
    <row r="2792" spans="1:5" ht="14.25">
      <c r="A2792" s="67"/>
      <c r="B2792" s="67"/>
      <c r="C2792" s="67"/>
      <c r="D2792" s="67"/>
      <c r="E2792" s="67"/>
    </row>
    <row r="2793" spans="1:5" ht="14.25">
      <c r="A2793" s="67"/>
      <c r="B2793" s="67"/>
      <c r="C2793" s="67"/>
      <c r="D2793" s="67"/>
      <c r="E2793" s="67"/>
    </row>
    <row r="2794" spans="1:5" ht="14.25">
      <c r="A2794" s="67"/>
      <c r="B2794" s="67"/>
      <c r="C2794" s="67"/>
      <c r="D2794" s="67"/>
      <c r="E2794" s="67"/>
    </row>
    <row r="2795" spans="1:5" ht="14.25">
      <c r="A2795" s="67"/>
      <c r="B2795" s="67"/>
      <c r="C2795" s="67"/>
      <c r="D2795" s="67"/>
      <c r="E2795" s="67"/>
    </row>
    <row r="2796" spans="1:5" ht="14.25">
      <c r="A2796" s="67"/>
      <c r="B2796" s="67"/>
      <c r="C2796" s="67"/>
      <c r="D2796" s="67"/>
      <c r="E2796" s="67"/>
    </row>
    <row r="2797" spans="1:5" ht="14.25">
      <c r="A2797" s="67"/>
      <c r="B2797" s="67"/>
      <c r="C2797" s="67"/>
      <c r="D2797" s="67"/>
      <c r="E2797" s="67"/>
    </row>
    <row r="2798" spans="1:5" ht="14.25">
      <c r="A2798" s="67"/>
      <c r="B2798" s="67"/>
      <c r="C2798" s="67"/>
      <c r="D2798" s="67"/>
      <c r="E2798" s="67"/>
    </row>
    <row r="2799" spans="1:5" ht="14.25">
      <c r="A2799" s="67"/>
      <c r="B2799" s="67"/>
      <c r="C2799" s="67"/>
      <c r="D2799" s="67"/>
      <c r="E2799" s="67"/>
    </row>
    <row r="2800" spans="1:5" ht="14.25">
      <c r="A2800" s="67"/>
      <c r="B2800" s="67"/>
      <c r="C2800" s="67"/>
      <c r="D2800" s="67"/>
      <c r="E2800" s="67"/>
    </row>
    <row r="2801" spans="1:5" ht="14.25">
      <c r="A2801" s="67"/>
      <c r="B2801" s="67"/>
      <c r="C2801" s="67"/>
      <c r="D2801" s="67"/>
      <c r="E2801" s="67"/>
    </row>
    <row r="2802" spans="1:5" ht="14.25">
      <c r="A2802" s="67"/>
      <c r="B2802" s="67"/>
      <c r="C2802" s="67"/>
      <c r="D2802" s="67"/>
      <c r="E2802" s="67"/>
    </row>
    <row r="2803" spans="1:5" ht="14.25">
      <c r="A2803" s="67"/>
      <c r="B2803" s="67"/>
      <c r="C2803" s="67"/>
      <c r="D2803" s="67"/>
      <c r="E2803" s="67"/>
    </row>
    <row r="2804" spans="1:5" ht="14.25">
      <c r="A2804" s="67"/>
      <c r="B2804" s="67"/>
      <c r="C2804" s="67"/>
      <c r="D2804" s="67"/>
      <c r="E2804" s="67"/>
    </row>
    <row r="2805" spans="1:5" ht="14.25">
      <c r="A2805" s="67"/>
      <c r="B2805" s="67"/>
      <c r="C2805" s="67"/>
      <c r="D2805" s="67"/>
      <c r="E2805" s="67"/>
    </row>
    <row r="2806" spans="1:5" ht="14.25">
      <c r="A2806" s="67"/>
      <c r="B2806" s="67"/>
      <c r="C2806" s="67"/>
      <c r="D2806" s="67"/>
      <c r="E2806" s="67"/>
    </row>
    <row r="2807" spans="1:5" ht="14.25">
      <c r="A2807" s="67"/>
      <c r="B2807" s="67"/>
      <c r="C2807" s="67"/>
      <c r="D2807" s="67"/>
      <c r="E2807" s="67"/>
    </row>
    <row r="2808" spans="1:5" ht="14.25">
      <c r="A2808" s="67"/>
      <c r="B2808" s="67"/>
      <c r="C2808" s="67"/>
      <c r="D2808" s="67"/>
      <c r="E2808" s="67"/>
    </row>
    <row r="2809" spans="1:5" ht="14.25">
      <c r="A2809" s="67"/>
      <c r="B2809" s="67"/>
      <c r="C2809" s="67"/>
      <c r="D2809" s="67"/>
      <c r="E2809" s="67"/>
    </row>
    <row r="2810" spans="1:5" ht="14.25">
      <c r="A2810" s="67"/>
      <c r="B2810" s="67"/>
      <c r="C2810" s="67"/>
      <c r="D2810" s="67"/>
      <c r="E2810" s="67"/>
    </row>
    <row r="2811" spans="1:5" ht="14.25">
      <c r="A2811" s="67"/>
      <c r="B2811" s="67"/>
      <c r="C2811" s="67"/>
      <c r="D2811" s="67"/>
      <c r="E2811" s="67"/>
    </row>
    <row r="2812" spans="1:5" ht="14.25">
      <c r="A2812" s="67"/>
      <c r="B2812" s="67"/>
      <c r="C2812" s="67"/>
      <c r="D2812" s="67"/>
      <c r="E2812" s="67"/>
    </row>
    <row r="2813" spans="1:5" ht="14.25">
      <c r="A2813" s="67"/>
      <c r="B2813" s="67"/>
      <c r="C2813" s="67"/>
      <c r="D2813" s="67"/>
      <c r="E2813" s="67"/>
    </row>
    <row r="2814" spans="1:5" ht="14.25">
      <c r="A2814" s="67"/>
      <c r="B2814" s="67"/>
      <c r="C2814" s="67"/>
      <c r="D2814" s="67"/>
      <c r="E2814" s="67"/>
    </row>
    <row r="2815" spans="1:5" ht="14.25">
      <c r="A2815" s="67"/>
      <c r="B2815" s="67"/>
      <c r="C2815" s="67"/>
      <c r="D2815" s="67"/>
      <c r="E2815" s="67"/>
    </row>
    <row r="2816" spans="1:5" ht="14.25">
      <c r="A2816" s="67"/>
      <c r="B2816" s="67"/>
      <c r="C2816" s="67"/>
      <c r="D2816" s="67"/>
      <c r="E2816" s="67"/>
    </row>
    <row r="2817" spans="1:5" ht="14.25">
      <c r="A2817" s="67"/>
      <c r="B2817" s="67"/>
      <c r="C2817" s="67"/>
      <c r="D2817" s="67"/>
      <c r="E2817" s="67"/>
    </row>
    <row r="2818" spans="1:5" ht="14.25">
      <c r="A2818" s="67"/>
      <c r="B2818" s="67"/>
      <c r="C2818" s="67"/>
      <c r="D2818" s="67"/>
      <c r="E2818" s="67"/>
    </row>
    <row r="2819" spans="1:5" ht="14.25">
      <c r="A2819" s="67"/>
      <c r="B2819" s="67"/>
      <c r="C2819" s="67"/>
      <c r="D2819" s="67"/>
      <c r="E2819" s="67"/>
    </row>
    <row r="2820" spans="1:5" ht="14.25">
      <c r="A2820" s="67"/>
      <c r="B2820" s="67"/>
      <c r="C2820" s="67"/>
      <c r="D2820" s="67"/>
      <c r="E2820" s="67"/>
    </row>
    <row r="2821" spans="1:5" ht="14.25">
      <c r="A2821" s="67"/>
      <c r="B2821" s="67"/>
      <c r="C2821" s="67"/>
      <c r="D2821" s="67"/>
      <c r="E2821" s="67"/>
    </row>
    <row r="2822" spans="1:5" ht="14.25">
      <c r="A2822" s="67"/>
      <c r="B2822" s="67"/>
      <c r="C2822" s="67"/>
      <c r="D2822" s="67"/>
      <c r="E2822" s="67"/>
    </row>
    <row r="2823" spans="1:5" ht="14.25">
      <c r="A2823" s="67"/>
      <c r="B2823" s="67"/>
      <c r="C2823" s="67"/>
      <c r="D2823" s="67"/>
      <c r="E2823" s="67"/>
    </row>
    <row r="2824" spans="1:5" ht="14.25">
      <c r="A2824" s="67"/>
      <c r="B2824" s="67"/>
      <c r="C2824" s="67"/>
      <c r="D2824" s="67"/>
      <c r="E2824" s="67"/>
    </row>
    <row r="2825" spans="1:5" ht="14.25">
      <c r="A2825" s="67"/>
      <c r="B2825" s="67"/>
      <c r="C2825" s="67"/>
      <c r="D2825" s="67"/>
      <c r="E2825" s="67"/>
    </row>
    <row r="2826" spans="1:5" ht="14.25">
      <c r="A2826" s="67"/>
      <c r="B2826" s="67"/>
      <c r="C2826" s="67"/>
      <c r="D2826" s="67"/>
      <c r="E2826" s="67"/>
    </row>
    <row r="2827" spans="1:5" ht="14.25">
      <c r="A2827" s="67"/>
      <c r="B2827" s="67"/>
      <c r="C2827" s="67"/>
      <c r="D2827" s="67"/>
      <c r="E2827" s="67"/>
    </row>
    <row r="2828" spans="1:5" ht="14.25">
      <c r="A2828" s="67"/>
      <c r="B2828" s="67"/>
      <c r="C2828" s="67"/>
      <c r="D2828" s="67"/>
      <c r="E2828" s="67"/>
    </row>
    <row r="2829" spans="1:5" ht="14.25">
      <c r="A2829" s="67"/>
      <c r="B2829" s="67"/>
      <c r="C2829" s="67"/>
      <c r="D2829" s="67"/>
      <c r="E2829" s="67"/>
    </row>
    <row r="2830" spans="1:5" ht="14.25">
      <c r="A2830" s="67"/>
      <c r="B2830" s="67"/>
      <c r="C2830" s="67"/>
      <c r="D2830" s="67"/>
      <c r="E2830" s="67"/>
    </row>
    <row r="2831" spans="1:5" ht="14.25">
      <c r="A2831" s="67"/>
      <c r="B2831" s="67"/>
      <c r="C2831" s="67"/>
      <c r="D2831" s="67"/>
      <c r="E2831" s="67"/>
    </row>
    <row r="2832" spans="1:5" ht="14.25">
      <c r="A2832" s="67"/>
      <c r="B2832" s="67"/>
      <c r="C2832" s="67"/>
      <c r="D2832" s="67"/>
      <c r="E2832" s="67"/>
    </row>
    <row r="2833" spans="1:5" ht="14.25">
      <c r="A2833" s="67"/>
      <c r="B2833" s="67"/>
      <c r="C2833" s="67"/>
      <c r="D2833" s="67"/>
      <c r="E2833" s="67"/>
    </row>
    <row r="2834" spans="1:5" ht="14.25">
      <c r="A2834" s="67"/>
      <c r="B2834" s="67"/>
      <c r="C2834" s="67"/>
      <c r="D2834" s="67"/>
      <c r="E2834" s="67"/>
    </row>
    <row r="2835" spans="1:5" ht="14.25">
      <c r="A2835" s="67"/>
      <c r="B2835" s="67"/>
      <c r="C2835" s="67"/>
      <c r="D2835" s="67"/>
      <c r="E2835" s="67"/>
    </row>
    <row r="2836" spans="1:5" ht="14.25">
      <c r="A2836" s="67"/>
      <c r="B2836" s="67"/>
      <c r="C2836" s="67"/>
      <c r="D2836" s="67"/>
      <c r="E2836" s="67"/>
    </row>
    <row r="2837" spans="1:5" ht="14.25">
      <c r="A2837" s="67"/>
      <c r="B2837" s="67"/>
      <c r="C2837" s="67"/>
      <c r="D2837" s="67"/>
      <c r="E2837" s="67"/>
    </row>
    <row r="2838" spans="1:5" ht="14.25">
      <c r="A2838" s="67"/>
      <c r="B2838" s="67"/>
      <c r="C2838" s="67"/>
      <c r="D2838" s="67"/>
      <c r="E2838" s="67"/>
    </row>
    <row r="2839" spans="1:5" ht="14.25">
      <c r="A2839" s="67"/>
      <c r="B2839" s="67"/>
      <c r="C2839" s="67"/>
      <c r="D2839" s="67"/>
      <c r="E2839" s="67"/>
    </row>
    <row r="2840" spans="1:5" ht="14.25">
      <c r="A2840" s="67"/>
      <c r="B2840" s="67"/>
      <c r="C2840" s="67"/>
      <c r="D2840" s="67"/>
      <c r="E2840" s="67"/>
    </row>
    <row r="2841" spans="1:5" ht="14.25">
      <c r="A2841" s="67"/>
      <c r="B2841" s="67"/>
      <c r="C2841" s="67"/>
      <c r="D2841" s="67"/>
      <c r="E2841" s="67"/>
    </row>
    <row r="2842" spans="1:5" ht="14.25">
      <c r="A2842" s="67"/>
      <c r="B2842" s="67"/>
      <c r="C2842" s="67"/>
      <c r="D2842" s="67"/>
      <c r="E2842" s="67"/>
    </row>
    <row r="2843" spans="1:5" ht="14.25">
      <c r="A2843" s="67"/>
      <c r="B2843" s="67"/>
      <c r="C2843" s="67"/>
      <c r="D2843" s="67"/>
      <c r="E2843" s="67"/>
    </row>
    <row r="2844" spans="1:5" ht="14.25">
      <c r="A2844" s="67"/>
      <c r="B2844" s="67"/>
      <c r="C2844" s="67"/>
      <c r="D2844" s="67"/>
      <c r="E2844" s="67"/>
    </row>
    <row r="2845" spans="1:5" ht="14.25">
      <c r="A2845" s="67"/>
      <c r="B2845" s="67"/>
      <c r="C2845" s="67"/>
      <c r="D2845" s="67"/>
      <c r="E2845" s="67"/>
    </row>
    <row r="2846" spans="1:5" ht="14.25">
      <c r="A2846" s="67"/>
      <c r="B2846" s="67"/>
      <c r="C2846" s="67"/>
      <c r="D2846" s="67"/>
      <c r="E2846" s="67"/>
    </row>
    <row r="2847" spans="1:5" ht="14.25">
      <c r="A2847" s="67"/>
      <c r="B2847" s="67"/>
      <c r="C2847" s="67"/>
      <c r="D2847" s="67"/>
      <c r="E2847" s="67"/>
    </row>
    <row r="2848" spans="1:5" ht="14.25">
      <c r="A2848" s="67"/>
      <c r="B2848" s="67"/>
      <c r="C2848" s="67"/>
      <c r="D2848" s="67"/>
      <c r="E2848" s="67"/>
    </row>
    <row r="2849" spans="1:5" ht="14.25">
      <c r="A2849" s="67"/>
      <c r="B2849" s="67"/>
      <c r="C2849" s="67"/>
      <c r="D2849" s="67"/>
      <c r="E2849" s="67"/>
    </row>
    <row r="2850" spans="1:5" ht="14.25">
      <c r="A2850" s="67"/>
      <c r="B2850" s="67"/>
      <c r="C2850" s="67"/>
      <c r="D2850" s="67"/>
      <c r="E2850" s="67"/>
    </row>
    <row r="2851" spans="1:5" ht="14.25">
      <c r="A2851" s="67"/>
      <c r="B2851" s="67"/>
      <c r="C2851" s="67"/>
      <c r="D2851" s="67"/>
      <c r="E2851" s="67"/>
    </row>
    <row r="2852" spans="1:5" ht="14.25">
      <c r="A2852" s="67"/>
      <c r="B2852" s="67"/>
      <c r="C2852" s="67"/>
      <c r="D2852" s="67"/>
      <c r="E2852" s="67"/>
    </row>
    <row r="2853" spans="1:5" ht="14.25">
      <c r="A2853" s="67"/>
      <c r="B2853" s="67"/>
      <c r="C2853" s="67"/>
      <c r="D2853" s="67"/>
      <c r="E2853" s="67"/>
    </row>
    <row r="2854" spans="1:5" ht="14.25">
      <c r="A2854" s="67"/>
      <c r="B2854" s="67"/>
      <c r="C2854" s="67"/>
      <c r="D2854" s="67"/>
      <c r="E2854" s="67"/>
    </row>
    <row r="2855" spans="1:5" ht="14.25">
      <c r="A2855" s="67"/>
      <c r="B2855" s="67"/>
      <c r="C2855" s="67"/>
      <c r="D2855" s="67"/>
      <c r="E2855" s="67"/>
    </row>
    <row r="2856" spans="1:5" ht="14.25">
      <c r="A2856" s="67"/>
      <c r="B2856" s="67"/>
      <c r="C2856" s="67"/>
      <c r="D2856" s="67"/>
      <c r="E2856" s="67"/>
    </row>
    <row r="2857" spans="1:5" ht="14.25">
      <c r="A2857" s="67"/>
      <c r="B2857" s="67"/>
      <c r="C2857" s="67"/>
      <c r="D2857" s="67"/>
      <c r="E2857" s="67"/>
    </row>
    <row r="2858" spans="1:5" ht="14.25">
      <c r="A2858" s="67"/>
      <c r="B2858" s="67"/>
      <c r="C2858" s="67"/>
      <c r="D2858" s="67"/>
      <c r="E2858" s="67"/>
    </row>
    <row r="2859" spans="1:5" ht="14.25">
      <c r="A2859" s="67"/>
      <c r="B2859" s="67"/>
      <c r="C2859" s="67"/>
      <c r="D2859" s="67"/>
      <c r="E2859" s="67"/>
    </row>
    <row r="2860" spans="1:5" ht="14.25">
      <c r="A2860" s="67"/>
      <c r="B2860" s="67"/>
      <c r="C2860" s="67"/>
      <c r="D2860" s="67"/>
      <c r="E2860" s="67"/>
    </row>
    <row r="2861" spans="1:5" ht="14.25">
      <c r="A2861" s="67"/>
      <c r="B2861" s="67"/>
      <c r="C2861" s="67"/>
      <c r="D2861" s="67"/>
      <c r="E2861" s="67"/>
    </row>
    <row r="2862" spans="1:5" ht="14.25">
      <c r="A2862" s="67"/>
      <c r="B2862" s="67"/>
      <c r="C2862" s="67"/>
      <c r="D2862" s="67"/>
      <c r="E2862" s="67"/>
    </row>
    <row r="2863" spans="1:5" ht="14.25">
      <c r="A2863" s="67"/>
      <c r="B2863" s="67"/>
      <c r="C2863" s="67"/>
      <c r="D2863" s="67"/>
      <c r="E2863" s="67"/>
    </row>
    <row r="2864" spans="1:5" ht="14.25">
      <c r="A2864" s="67"/>
      <c r="B2864" s="67"/>
      <c r="C2864" s="67"/>
      <c r="D2864" s="67"/>
      <c r="E2864" s="67"/>
    </row>
    <row r="2865" spans="1:5" ht="14.25">
      <c r="A2865" s="67"/>
      <c r="B2865" s="67"/>
      <c r="C2865" s="67"/>
      <c r="D2865" s="67"/>
      <c r="E2865" s="67"/>
    </row>
    <row r="2866" spans="1:5" ht="14.25">
      <c r="A2866" s="67"/>
      <c r="B2866" s="67"/>
      <c r="C2866" s="67"/>
      <c r="D2866" s="67"/>
      <c r="E2866" s="67"/>
    </row>
    <row r="2867" spans="1:5" ht="14.25">
      <c r="A2867" s="67"/>
      <c r="B2867" s="67"/>
      <c r="C2867" s="67"/>
      <c r="D2867" s="67"/>
      <c r="E2867" s="67"/>
    </row>
    <row r="2868" spans="1:5" ht="14.25">
      <c r="A2868" s="67"/>
      <c r="B2868" s="67"/>
      <c r="C2868" s="67"/>
      <c r="D2868" s="67"/>
      <c r="E2868" s="67"/>
    </row>
    <row r="2869" spans="1:5" ht="14.25">
      <c r="A2869" s="67"/>
      <c r="B2869" s="67"/>
      <c r="C2869" s="67"/>
      <c r="D2869" s="67"/>
      <c r="E2869" s="67"/>
    </row>
    <row r="2870" spans="1:5" ht="14.25">
      <c r="A2870" s="67"/>
      <c r="B2870" s="67"/>
      <c r="C2870" s="67"/>
      <c r="D2870" s="67"/>
      <c r="E2870" s="67"/>
    </row>
    <row r="2871" spans="1:5" ht="14.25">
      <c r="A2871" s="67"/>
      <c r="B2871" s="67"/>
      <c r="C2871" s="67"/>
      <c r="D2871" s="67"/>
      <c r="E2871" s="67"/>
    </row>
    <row r="2872" spans="1:5" ht="14.25">
      <c r="A2872" s="67"/>
      <c r="B2872" s="67"/>
      <c r="C2872" s="67"/>
      <c r="D2872" s="67"/>
      <c r="E2872" s="67"/>
    </row>
    <row r="2873" spans="1:5" ht="14.25">
      <c r="A2873" s="67"/>
      <c r="B2873" s="67"/>
      <c r="C2873" s="67"/>
      <c r="D2873" s="67"/>
      <c r="E2873" s="67"/>
    </row>
    <row r="2874" spans="1:5" ht="14.25">
      <c r="A2874" s="67"/>
      <c r="B2874" s="67"/>
      <c r="C2874" s="67"/>
      <c r="D2874" s="67"/>
      <c r="E2874" s="67"/>
    </row>
    <row r="2875" spans="1:5" ht="14.25">
      <c r="A2875" s="67"/>
      <c r="B2875" s="67"/>
      <c r="C2875" s="67"/>
      <c r="D2875" s="67"/>
      <c r="E2875" s="67"/>
    </row>
    <row r="2876" spans="1:5" ht="14.25">
      <c r="A2876" s="67"/>
      <c r="B2876" s="67"/>
      <c r="C2876" s="67"/>
      <c r="D2876" s="67"/>
      <c r="E2876" s="67"/>
    </row>
    <row r="2877" spans="1:5" ht="14.25">
      <c r="A2877" s="67"/>
      <c r="B2877" s="67"/>
      <c r="C2877" s="67"/>
      <c r="D2877" s="67"/>
      <c r="E2877" s="67"/>
    </row>
    <row r="2878" spans="1:5" ht="14.25">
      <c r="A2878" s="67"/>
      <c r="B2878" s="67"/>
      <c r="C2878" s="67"/>
      <c r="D2878" s="67"/>
      <c r="E2878" s="67"/>
    </row>
    <row r="2879" spans="1:5" ht="14.25">
      <c r="A2879" s="67"/>
      <c r="B2879" s="67"/>
      <c r="C2879" s="67"/>
      <c r="D2879" s="67"/>
      <c r="E2879" s="67"/>
    </row>
    <row r="2880" spans="1:5" ht="14.25">
      <c r="A2880" s="67"/>
      <c r="B2880" s="67"/>
      <c r="C2880" s="67"/>
      <c r="D2880" s="67"/>
      <c r="E2880" s="67"/>
    </row>
    <row r="2881" spans="1:5" ht="14.25">
      <c r="A2881" s="67"/>
      <c r="B2881" s="67"/>
      <c r="C2881" s="67"/>
      <c r="D2881" s="67"/>
      <c r="E2881" s="67"/>
    </row>
    <row r="2882" spans="1:5" ht="14.25">
      <c r="A2882" s="67"/>
      <c r="B2882" s="67"/>
      <c r="C2882" s="67"/>
      <c r="D2882" s="67"/>
      <c r="E2882" s="67"/>
    </row>
    <row r="2883" spans="1:5" ht="14.25">
      <c r="A2883" s="67"/>
      <c r="B2883" s="67"/>
      <c r="C2883" s="67"/>
      <c r="D2883" s="67"/>
      <c r="E2883" s="67"/>
    </row>
    <row r="2884" spans="1:5" ht="14.25">
      <c r="A2884" s="67"/>
      <c r="B2884" s="67"/>
      <c r="C2884" s="67"/>
      <c r="D2884" s="67"/>
      <c r="E2884" s="67"/>
    </row>
    <row r="2885" spans="1:5" ht="14.25">
      <c r="A2885" s="67"/>
      <c r="B2885" s="67"/>
      <c r="C2885" s="67"/>
      <c r="D2885" s="67"/>
      <c r="E2885" s="67"/>
    </row>
    <row r="2886" spans="1:5" ht="14.25">
      <c r="A2886" s="67"/>
      <c r="B2886" s="67"/>
      <c r="C2886" s="67"/>
      <c r="D2886" s="67"/>
      <c r="E2886" s="67"/>
    </row>
    <row r="2887" spans="1:5" ht="14.25">
      <c r="A2887" s="67"/>
      <c r="B2887" s="67"/>
      <c r="C2887" s="67"/>
      <c r="D2887" s="67"/>
      <c r="E2887" s="67"/>
    </row>
    <row r="2888" spans="1:5" ht="14.25">
      <c r="A2888" s="67"/>
      <c r="B2888" s="67"/>
      <c r="C2888" s="67"/>
      <c r="D2888" s="67"/>
      <c r="E2888" s="67"/>
    </row>
    <row r="2889" spans="1:5" ht="14.25">
      <c r="A2889" s="67"/>
      <c r="B2889" s="67"/>
      <c r="C2889" s="67"/>
      <c r="D2889" s="67"/>
      <c r="E2889" s="67"/>
    </row>
    <row r="2890" spans="1:5" ht="14.25">
      <c r="A2890" s="67"/>
      <c r="B2890" s="67"/>
      <c r="C2890" s="67"/>
      <c r="D2890" s="67"/>
      <c r="E2890" s="67"/>
    </row>
    <row r="2891" spans="1:5" ht="14.25">
      <c r="A2891" s="67"/>
      <c r="B2891" s="67"/>
      <c r="C2891" s="67"/>
      <c r="D2891" s="67"/>
      <c r="E2891" s="67"/>
    </row>
    <row r="2892" spans="1:5" ht="14.25">
      <c r="A2892" s="67"/>
      <c r="B2892" s="67"/>
      <c r="C2892" s="67"/>
      <c r="D2892" s="67"/>
      <c r="E2892" s="67"/>
    </row>
    <row r="2893" spans="1:5" ht="14.25">
      <c r="A2893" s="67"/>
      <c r="B2893" s="67"/>
      <c r="C2893" s="67"/>
      <c r="D2893" s="67"/>
      <c r="E2893" s="67"/>
    </row>
    <row r="2894" spans="1:5" ht="14.25">
      <c r="A2894" s="67"/>
      <c r="B2894" s="67"/>
      <c r="C2894" s="67"/>
      <c r="D2894" s="67"/>
      <c r="E2894" s="67"/>
    </row>
    <row r="2895" spans="1:5" ht="14.25">
      <c r="A2895" s="67"/>
      <c r="B2895" s="67"/>
      <c r="C2895" s="67"/>
      <c r="D2895" s="67"/>
      <c r="E2895" s="67"/>
    </row>
    <row r="2896" spans="1:5" ht="14.25">
      <c r="A2896" s="67"/>
      <c r="B2896" s="67"/>
      <c r="C2896" s="67"/>
      <c r="D2896" s="67"/>
      <c r="E2896" s="67"/>
    </row>
    <row r="2897" spans="1:5" ht="14.25">
      <c r="A2897" s="67"/>
      <c r="B2897" s="67"/>
      <c r="C2897" s="67"/>
      <c r="D2897" s="67"/>
      <c r="E2897" s="67"/>
    </row>
    <row r="2898" spans="1:5" ht="14.25">
      <c r="A2898" s="67"/>
      <c r="B2898" s="67"/>
      <c r="C2898" s="67"/>
      <c r="D2898" s="67"/>
      <c r="E2898" s="67"/>
    </row>
    <row r="2899" spans="1:5" ht="14.25">
      <c r="A2899" s="67"/>
      <c r="B2899" s="67"/>
      <c r="C2899" s="67"/>
      <c r="D2899" s="67"/>
      <c r="E2899" s="67"/>
    </row>
    <row r="2900" spans="1:5" ht="14.25">
      <c r="A2900" s="67"/>
      <c r="B2900" s="67"/>
      <c r="C2900" s="67"/>
      <c r="D2900" s="67"/>
      <c r="E2900" s="67"/>
    </row>
    <row r="2901" spans="1:5" ht="14.25">
      <c r="A2901" s="67"/>
      <c r="B2901" s="67"/>
      <c r="C2901" s="67"/>
      <c r="D2901" s="67"/>
      <c r="E2901" s="67"/>
    </row>
    <row r="2902" spans="1:5" ht="14.25">
      <c r="A2902" s="67"/>
      <c r="B2902" s="67"/>
      <c r="C2902" s="67"/>
      <c r="D2902" s="67"/>
      <c r="E2902" s="67"/>
    </row>
    <row r="2903" spans="1:5" ht="14.25">
      <c r="A2903" s="67"/>
      <c r="B2903" s="67"/>
      <c r="C2903" s="67"/>
      <c r="D2903" s="67"/>
      <c r="E2903" s="67"/>
    </row>
    <row r="2904" spans="1:5" ht="14.25">
      <c r="A2904" s="67"/>
      <c r="B2904" s="67"/>
      <c r="C2904" s="67"/>
      <c r="D2904" s="67"/>
      <c r="E2904" s="67"/>
    </row>
    <row r="2905" spans="1:5" ht="14.25">
      <c r="A2905" s="67"/>
      <c r="B2905" s="67"/>
      <c r="C2905" s="67"/>
      <c r="D2905" s="67"/>
      <c r="E2905" s="67"/>
    </row>
    <row r="2906" spans="1:5" ht="14.25">
      <c r="A2906" s="67"/>
      <c r="B2906" s="67"/>
      <c r="C2906" s="67"/>
      <c r="D2906" s="67"/>
      <c r="E2906" s="67"/>
    </row>
    <row r="2907" spans="1:5" ht="14.25">
      <c r="A2907" s="67"/>
      <c r="B2907" s="67"/>
      <c r="C2907" s="67"/>
      <c r="D2907" s="67"/>
      <c r="E2907" s="67"/>
    </row>
    <row r="2908" spans="1:5" ht="14.25">
      <c r="A2908" s="67"/>
      <c r="B2908" s="67"/>
      <c r="C2908" s="67"/>
      <c r="D2908" s="67"/>
      <c r="E2908" s="67"/>
    </row>
    <row r="2909" spans="1:5" ht="14.25">
      <c r="A2909" s="67"/>
      <c r="B2909" s="67"/>
      <c r="C2909" s="67"/>
      <c r="D2909" s="67"/>
      <c r="E2909" s="67"/>
    </row>
    <row r="2910" spans="1:5" ht="14.25">
      <c r="A2910" s="67"/>
      <c r="B2910" s="67"/>
      <c r="C2910" s="67"/>
      <c r="D2910" s="67"/>
      <c r="E2910" s="67"/>
    </row>
    <row r="2911" spans="1:5" ht="14.25">
      <c r="A2911" s="67"/>
      <c r="B2911" s="67"/>
      <c r="C2911" s="67"/>
      <c r="D2911" s="67"/>
      <c r="E2911" s="67"/>
    </row>
    <row r="2912" spans="1:5" ht="14.25">
      <c r="A2912" s="67"/>
      <c r="B2912" s="67"/>
      <c r="C2912" s="67"/>
      <c r="D2912" s="67"/>
      <c r="E2912" s="67"/>
    </row>
    <row r="2913" spans="1:5" ht="14.25">
      <c r="A2913" s="67"/>
      <c r="B2913" s="67"/>
      <c r="C2913" s="67"/>
      <c r="D2913" s="67"/>
      <c r="E2913" s="67"/>
    </row>
    <row r="2914" spans="1:5" ht="14.25">
      <c r="A2914" s="67"/>
      <c r="B2914" s="67"/>
      <c r="C2914" s="67"/>
      <c r="D2914" s="67"/>
      <c r="E2914" s="67"/>
    </row>
    <row r="2915" spans="1:5" ht="14.25">
      <c r="A2915" s="67"/>
      <c r="B2915" s="67"/>
      <c r="C2915" s="67"/>
      <c r="D2915" s="67"/>
      <c r="E2915" s="67"/>
    </row>
    <row r="2916" spans="1:5" ht="14.25">
      <c r="A2916" s="67"/>
      <c r="B2916" s="67"/>
      <c r="C2916" s="67"/>
      <c r="D2916" s="67"/>
      <c r="E2916" s="67"/>
    </row>
    <row r="2917" spans="1:5" ht="14.25">
      <c r="A2917" s="67"/>
      <c r="B2917" s="67"/>
      <c r="C2917" s="67"/>
      <c r="D2917" s="67"/>
      <c r="E2917" s="67"/>
    </row>
    <row r="2918" spans="1:5" ht="14.25">
      <c r="A2918" s="67"/>
      <c r="B2918" s="67"/>
      <c r="C2918" s="67"/>
      <c r="D2918" s="67"/>
      <c r="E2918" s="67"/>
    </row>
    <row r="2919" spans="1:5" ht="14.25">
      <c r="A2919" s="67"/>
      <c r="B2919" s="67"/>
      <c r="C2919" s="67"/>
      <c r="D2919" s="67"/>
      <c r="E2919" s="67"/>
    </row>
    <row r="2920" spans="1:5" ht="14.25">
      <c r="A2920" s="67"/>
      <c r="B2920" s="67"/>
      <c r="C2920" s="67"/>
      <c r="D2920" s="67"/>
      <c r="E2920" s="67"/>
    </row>
    <row r="2921" spans="1:5" ht="14.25">
      <c r="A2921" s="67"/>
      <c r="B2921" s="67"/>
      <c r="C2921" s="67"/>
      <c r="D2921" s="67"/>
      <c r="E2921" s="67"/>
    </row>
    <row r="2922" spans="1:5" ht="14.25">
      <c r="A2922" s="67"/>
      <c r="B2922" s="67"/>
      <c r="C2922" s="67"/>
      <c r="D2922" s="67"/>
      <c r="E2922" s="67"/>
    </row>
    <row r="2923" spans="1:5" ht="14.25">
      <c r="A2923" s="67"/>
      <c r="B2923" s="67"/>
      <c r="C2923" s="67"/>
      <c r="D2923" s="67"/>
      <c r="E2923" s="67"/>
    </row>
    <row r="2924" spans="1:5" ht="14.25">
      <c r="A2924" s="67"/>
      <c r="B2924" s="67"/>
      <c r="C2924" s="67"/>
      <c r="D2924" s="67"/>
      <c r="E2924" s="67"/>
    </row>
    <row r="2925" spans="1:5" ht="14.25">
      <c r="A2925" s="67"/>
      <c r="B2925" s="67"/>
      <c r="C2925" s="67"/>
      <c r="D2925" s="67"/>
      <c r="E2925" s="67"/>
    </row>
    <row r="2926" spans="1:5" ht="14.25">
      <c r="A2926" s="67"/>
      <c r="B2926" s="67"/>
      <c r="C2926" s="67"/>
      <c r="D2926" s="67"/>
      <c r="E2926" s="67"/>
    </row>
    <row r="2927" spans="1:5" ht="14.25">
      <c r="A2927" s="67"/>
      <c r="B2927" s="67"/>
      <c r="C2927" s="67"/>
      <c r="D2927" s="67"/>
      <c r="E2927" s="67"/>
    </row>
    <row r="2928" spans="1:5" ht="14.25">
      <c r="A2928" s="67"/>
      <c r="B2928" s="67"/>
      <c r="C2928" s="67"/>
      <c r="D2928" s="67"/>
      <c r="E2928" s="67"/>
    </row>
    <row r="2929" spans="1:5" ht="14.25">
      <c r="A2929" s="67"/>
      <c r="B2929" s="67"/>
      <c r="C2929" s="67"/>
      <c r="D2929" s="67"/>
      <c r="E2929" s="67"/>
    </row>
    <row r="2930" spans="1:5" ht="14.25">
      <c r="A2930" s="67"/>
      <c r="B2930" s="67"/>
      <c r="C2930" s="67"/>
      <c r="D2930" s="67"/>
      <c r="E2930" s="67"/>
    </row>
    <row r="2931" spans="1:5" ht="14.25">
      <c r="A2931" s="67"/>
      <c r="B2931" s="67"/>
      <c r="C2931" s="67"/>
      <c r="D2931" s="67"/>
      <c r="E2931" s="67"/>
    </row>
    <row r="2932" spans="1:5" ht="14.25">
      <c r="A2932" s="67"/>
      <c r="B2932" s="67"/>
      <c r="C2932" s="67"/>
      <c r="D2932" s="67"/>
      <c r="E2932" s="67"/>
    </row>
    <row r="2933" spans="1:5" ht="14.25">
      <c r="A2933" s="67"/>
      <c r="B2933" s="67"/>
      <c r="C2933" s="67"/>
      <c r="D2933" s="67"/>
      <c r="E2933" s="67"/>
    </row>
    <row r="2934" spans="1:5" ht="14.25">
      <c r="A2934" s="67"/>
      <c r="B2934" s="67"/>
      <c r="C2934" s="67"/>
      <c r="D2934" s="67"/>
      <c r="E2934" s="67"/>
    </row>
    <row r="2935" spans="1:5" ht="14.25">
      <c r="A2935" s="67"/>
      <c r="B2935" s="67"/>
      <c r="C2935" s="67"/>
      <c r="D2935" s="67"/>
      <c r="E2935" s="67"/>
    </row>
    <row r="2936" spans="1:5" ht="14.25">
      <c r="A2936" s="67"/>
      <c r="B2936" s="67"/>
      <c r="C2936" s="67"/>
      <c r="D2936" s="67"/>
      <c r="E2936" s="67"/>
    </row>
    <row r="2937" spans="1:5" ht="14.25">
      <c r="A2937" s="67"/>
      <c r="B2937" s="67"/>
      <c r="C2937" s="67"/>
      <c r="D2937" s="67"/>
      <c r="E2937" s="67"/>
    </row>
    <row r="2938" spans="1:5" ht="14.25">
      <c r="A2938" s="67"/>
      <c r="B2938" s="67"/>
      <c r="C2938" s="67"/>
      <c r="D2938" s="67"/>
      <c r="E2938" s="67"/>
    </row>
    <row r="2939" spans="1:5" ht="14.25">
      <c r="A2939" s="67"/>
      <c r="B2939" s="67"/>
      <c r="C2939" s="67"/>
      <c r="D2939" s="67"/>
      <c r="E2939" s="67"/>
    </row>
    <row r="2940" spans="1:5" ht="14.25">
      <c r="A2940" s="67"/>
      <c r="B2940" s="67"/>
      <c r="C2940" s="67"/>
      <c r="D2940" s="67"/>
      <c r="E2940" s="67"/>
    </row>
    <row r="2941" spans="1:5" ht="14.25">
      <c r="A2941" s="67"/>
      <c r="B2941" s="67"/>
      <c r="C2941" s="67"/>
      <c r="D2941" s="67"/>
      <c r="E2941" s="67"/>
    </row>
    <row r="2942" spans="1:5" ht="14.25">
      <c r="A2942" s="67"/>
      <c r="B2942" s="67"/>
      <c r="C2942" s="67"/>
      <c r="D2942" s="67"/>
      <c r="E2942" s="67"/>
    </row>
    <row r="2943" spans="1:5" ht="14.25">
      <c r="A2943" s="67"/>
      <c r="B2943" s="67"/>
      <c r="C2943" s="67"/>
      <c r="D2943" s="67"/>
      <c r="E2943" s="67"/>
    </row>
    <row r="2944" spans="1:5" ht="14.25">
      <c r="A2944" s="67"/>
      <c r="B2944" s="67"/>
      <c r="C2944" s="67"/>
      <c r="D2944" s="67"/>
      <c r="E2944" s="67"/>
    </row>
    <row r="2945" spans="1:5" ht="14.25">
      <c r="A2945" s="67"/>
      <c r="B2945" s="67"/>
      <c r="C2945" s="67"/>
      <c r="D2945" s="67"/>
      <c r="E2945" s="67"/>
    </row>
    <row r="2946" spans="1:5" ht="14.25">
      <c r="A2946" s="67"/>
      <c r="B2946" s="67"/>
      <c r="C2946" s="67"/>
      <c r="D2946" s="67"/>
      <c r="E2946" s="67"/>
    </row>
    <row r="2947" spans="1:5" ht="14.25">
      <c r="A2947" s="67"/>
      <c r="B2947" s="67"/>
      <c r="C2947" s="67"/>
      <c r="D2947" s="67"/>
      <c r="E2947" s="67"/>
    </row>
    <row r="2948" spans="1:5" ht="14.25">
      <c r="A2948" s="67"/>
      <c r="B2948" s="67"/>
      <c r="C2948" s="67"/>
      <c r="D2948" s="67"/>
      <c r="E2948" s="67"/>
    </row>
    <row r="2949" spans="1:5" ht="14.25">
      <c r="A2949" s="67"/>
      <c r="B2949" s="67"/>
      <c r="C2949" s="67"/>
      <c r="D2949" s="67"/>
      <c r="E2949" s="67"/>
    </row>
    <row r="2950" spans="1:5" ht="14.25">
      <c r="A2950" s="67"/>
      <c r="B2950" s="67"/>
      <c r="C2950" s="67"/>
      <c r="D2950" s="67"/>
      <c r="E2950" s="67"/>
    </row>
    <row r="2951" spans="1:5" ht="14.25">
      <c r="A2951" s="67"/>
      <c r="B2951" s="67"/>
      <c r="C2951" s="67"/>
      <c r="D2951" s="67"/>
      <c r="E2951" s="67"/>
    </row>
    <row r="2952" spans="1:5" ht="14.25">
      <c r="A2952" s="67"/>
      <c r="B2952" s="67"/>
      <c r="C2952" s="67"/>
      <c r="D2952" s="67"/>
      <c r="E2952" s="67"/>
    </row>
    <row r="2953" spans="1:5" ht="14.25">
      <c r="A2953" s="67"/>
      <c r="B2953" s="67"/>
      <c r="C2953" s="67"/>
      <c r="D2953" s="67"/>
      <c r="E2953" s="67"/>
    </row>
    <row r="2954" spans="1:5" ht="14.25">
      <c r="A2954" s="67"/>
      <c r="B2954" s="67"/>
      <c r="C2954" s="67"/>
      <c r="D2954" s="67"/>
      <c r="E2954" s="67"/>
    </row>
    <row r="2955" spans="1:5" ht="14.25">
      <c r="A2955" s="67"/>
      <c r="B2955" s="67"/>
      <c r="C2955" s="67"/>
      <c r="D2955" s="67"/>
      <c r="E2955" s="67"/>
    </row>
    <row r="2956" spans="1:5" ht="14.25">
      <c r="A2956" s="67"/>
      <c r="B2956" s="67"/>
      <c r="C2956" s="67"/>
      <c r="D2956" s="67"/>
      <c r="E2956" s="67"/>
    </row>
    <row r="2957" spans="1:5" ht="14.25">
      <c r="A2957" s="67"/>
      <c r="B2957" s="67"/>
      <c r="C2957" s="67"/>
      <c r="D2957" s="67"/>
      <c r="E2957" s="67"/>
    </row>
    <row r="2958" spans="1:5" ht="14.25">
      <c r="A2958" s="67"/>
      <c r="B2958" s="67"/>
      <c r="C2958" s="67"/>
      <c r="D2958" s="67"/>
      <c r="E2958" s="67"/>
    </row>
    <row r="2959" spans="1:5" ht="14.25">
      <c r="A2959" s="67"/>
      <c r="B2959" s="67"/>
      <c r="C2959" s="67"/>
      <c r="D2959" s="67"/>
      <c r="E2959" s="67"/>
    </row>
    <row r="2960" spans="1:5" ht="14.25">
      <c r="A2960" s="67"/>
      <c r="B2960" s="67"/>
      <c r="C2960" s="67"/>
      <c r="D2960" s="67"/>
      <c r="E2960" s="67"/>
    </row>
    <row r="2961" spans="1:5" ht="14.25">
      <c r="A2961" s="67"/>
      <c r="B2961" s="67"/>
      <c r="C2961" s="67"/>
      <c r="D2961" s="67"/>
      <c r="E2961" s="67"/>
    </row>
    <row r="2962" spans="1:5" ht="14.25">
      <c r="A2962" s="67"/>
      <c r="B2962" s="67"/>
      <c r="C2962" s="67"/>
      <c r="D2962" s="67"/>
      <c r="E2962" s="67"/>
    </row>
    <row r="2963" spans="1:5" ht="14.25">
      <c r="A2963" s="67"/>
      <c r="B2963" s="67"/>
      <c r="C2963" s="67"/>
      <c r="D2963" s="67"/>
      <c r="E2963" s="67"/>
    </row>
    <row r="2964" spans="1:5" ht="14.25">
      <c r="A2964" s="67"/>
      <c r="B2964" s="67"/>
      <c r="C2964" s="67"/>
      <c r="D2964" s="67"/>
      <c r="E2964" s="67"/>
    </row>
    <row r="2965" spans="1:5" ht="14.25">
      <c r="A2965" s="67"/>
      <c r="B2965" s="67"/>
      <c r="C2965" s="67"/>
      <c r="D2965" s="67"/>
      <c r="E2965" s="67"/>
    </row>
    <row r="2966" spans="1:5" ht="14.25">
      <c r="A2966" s="67"/>
      <c r="B2966" s="67"/>
      <c r="C2966" s="67"/>
      <c r="D2966" s="67"/>
      <c r="E2966" s="67"/>
    </row>
    <row r="2967" spans="1:5" ht="14.25">
      <c r="A2967" s="67"/>
      <c r="B2967" s="67"/>
      <c r="C2967" s="67"/>
      <c r="D2967" s="67"/>
      <c r="E2967" s="67"/>
    </row>
    <row r="2968" spans="1:5" ht="14.25">
      <c r="A2968" s="67"/>
      <c r="B2968" s="67"/>
      <c r="C2968" s="67"/>
      <c r="D2968" s="67"/>
      <c r="E2968" s="67"/>
    </row>
    <row r="2969" spans="1:5" ht="14.25">
      <c r="A2969" s="67"/>
      <c r="B2969" s="67"/>
      <c r="C2969" s="67"/>
      <c r="D2969" s="67"/>
      <c r="E2969" s="67"/>
    </row>
    <row r="2970" spans="1:5" ht="14.25">
      <c r="A2970" s="67"/>
      <c r="B2970" s="67"/>
      <c r="C2970" s="67"/>
      <c r="D2970" s="67"/>
      <c r="E2970" s="67"/>
    </row>
    <row r="2971" spans="1:5" ht="14.25">
      <c r="A2971" s="67"/>
      <c r="B2971" s="67"/>
      <c r="C2971" s="67"/>
      <c r="D2971" s="67"/>
      <c r="E2971" s="67"/>
    </row>
    <row r="2972" spans="1:5" ht="14.25">
      <c r="A2972" s="67"/>
      <c r="B2972" s="67"/>
      <c r="C2972" s="67"/>
      <c r="D2972" s="67"/>
      <c r="E2972" s="67"/>
    </row>
    <row r="2973" spans="1:5" ht="14.25">
      <c r="A2973" s="67"/>
      <c r="B2973" s="67"/>
      <c r="C2973" s="67"/>
      <c r="D2973" s="67"/>
      <c r="E2973" s="67"/>
    </row>
    <row r="2974" spans="1:5" ht="14.25">
      <c r="A2974" s="67"/>
      <c r="B2974" s="67"/>
      <c r="C2974" s="67"/>
      <c r="D2974" s="67"/>
      <c r="E2974" s="67"/>
    </row>
    <row r="2975" spans="1:5" ht="14.25">
      <c r="A2975" s="67"/>
      <c r="B2975" s="67"/>
      <c r="C2975" s="67"/>
      <c r="D2975" s="67"/>
      <c r="E2975" s="67"/>
    </row>
    <row r="2976" spans="1:5" ht="14.25">
      <c r="A2976" s="67"/>
      <c r="B2976" s="67"/>
      <c r="C2976" s="67"/>
      <c r="D2976" s="67"/>
      <c r="E2976" s="67"/>
    </row>
    <row r="2977" spans="1:5" ht="14.25">
      <c r="A2977" s="67"/>
      <c r="B2977" s="67"/>
      <c r="C2977" s="67"/>
      <c r="D2977" s="67"/>
      <c r="E2977" s="67"/>
    </row>
    <row r="2978" spans="1:5" ht="14.25">
      <c r="A2978" s="67"/>
      <c r="B2978" s="67"/>
      <c r="C2978" s="67"/>
      <c r="D2978" s="67"/>
      <c r="E2978" s="67"/>
    </row>
    <row r="2979" spans="1:5" ht="14.25">
      <c r="A2979" s="67"/>
      <c r="B2979" s="67"/>
      <c r="C2979" s="67"/>
      <c r="D2979" s="67"/>
      <c r="E2979" s="67"/>
    </row>
    <row r="2980" spans="1:5" ht="14.25">
      <c r="A2980" s="67"/>
      <c r="B2980" s="67"/>
      <c r="C2980" s="67"/>
      <c r="D2980" s="67"/>
      <c r="E2980" s="67"/>
    </row>
    <row r="2981" spans="1:5" ht="14.25">
      <c r="A2981" s="67"/>
      <c r="B2981" s="67"/>
      <c r="C2981" s="67"/>
      <c r="D2981" s="67"/>
      <c r="E2981" s="67"/>
    </row>
    <row r="2982" spans="1:5" ht="14.25">
      <c r="A2982" s="67"/>
      <c r="B2982" s="67"/>
      <c r="C2982" s="67"/>
      <c r="D2982" s="67"/>
      <c r="E2982" s="67"/>
    </row>
    <row r="2983" spans="1:5" ht="14.25">
      <c r="A2983" s="67"/>
      <c r="B2983" s="67"/>
      <c r="C2983" s="67"/>
      <c r="D2983" s="67"/>
      <c r="E2983" s="67"/>
    </row>
    <row r="2984" spans="1:5" ht="14.25">
      <c r="A2984" s="67"/>
      <c r="B2984" s="67"/>
      <c r="C2984" s="67"/>
      <c r="D2984" s="67"/>
      <c r="E2984" s="67"/>
    </row>
    <row r="2985" spans="1:5" ht="14.25">
      <c r="A2985" s="67"/>
      <c r="B2985" s="67"/>
      <c r="C2985" s="67"/>
      <c r="D2985" s="67"/>
      <c r="E2985" s="67"/>
    </row>
    <row r="2986" spans="1:5" ht="14.25">
      <c r="A2986" s="67"/>
      <c r="B2986" s="67"/>
      <c r="C2986" s="67"/>
      <c r="D2986" s="67"/>
      <c r="E2986" s="67"/>
    </row>
    <row r="2987" spans="1:5" ht="14.25">
      <c r="A2987" s="67"/>
      <c r="B2987" s="67"/>
      <c r="C2987" s="67"/>
      <c r="D2987" s="67"/>
      <c r="E2987" s="67"/>
    </row>
    <row r="2988" spans="1:5" ht="14.25">
      <c r="A2988" s="67"/>
      <c r="B2988" s="67"/>
      <c r="C2988" s="67"/>
      <c r="D2988" s="67"/>
      <c r="E2988" s="67"/>
    </row>
    <row r="2989" spans="1:5" ht="14.25">
      <c r="A2989" s="67"/>
      <c r="B2989" s="67"/>
      <c r="C2989" s="67"/>
      <c r="D2989" s="67"/>
      <c r="E2989" s="67"/>
    </row>
    <row r="2990" spans="1:5" ht="14.25">
      <c r="A2990" s="67"/>
      <c r="B2990" s="67"/>
      <c r="C2990" s="67"/>
      <c r="D2990" s="67"/>
      <c r="E2990" s="67"/>
    </row>
    <row r="2991" spans="1:5" ht="14.25">
      <c r="A2991" s="67"/>
      <c r="B2991" s="67"/>
      <c r="C2991" s="67"/>
      <c r="D2991" s="67"/>
      <c r="E2991" s="67"/>
    </row>
    <row r="2992" spans="1:5" ht="14.25">
      <c r="A2992" s="67"/>
      <c r="B2992" s="67"/>
      <c r="C2992" s="67"/>
      <c r="D2992" s="67"/>
      <c r="E2992" s="67"/>
    </row>
    <row r="2993" spans="1:5" ht="14.25">
      <c r="A2993" s="67"/>
      <c r="B2993" s="67"/>
      <c r="C2993" s="67"/>
      <c r="D2993" s="67"/>
      <c r="E2993" s="67"/>
    </row>
    <row r="2994" spans="1:5" ht="14.25">
      <c r="A2994" s="67"/>
      <c r="B2994" s="67"/>
      <c r="C2994" s="67"/>
      <c r="D2994" s="67"/>
      <c r="E2994" s="67"/>
    </row>
    <row r="2995" spans="1:5" ht="14.25">
      <c r="A2995" s="67"/>
      <c r="B2995" s="67"/>
      <c r="C2995" s="67"/>
      <c r="D2995" s="67"/>
      <c r="E2995" s="67"/>
    </row>
    <row r="2996" spans="1:5" ht="14.25">
      <c r="A2996" s="67"/>
      <c r="B2996" s="67"/>
      <c r="C2996" s="67"/>
      <c r="D2996" s="67"/>
      <c r="E2996" s="67"/>
    </row>
    <row r="2997" spans="1:5" ht="14.25">
      <c r="A2997" s="67"/>
      <c r="B2997" s="67"/>
      <c r="C2997" s="67"/>
      <c r="D2997" s="67"/>
      <c r="E2997" s="67"/>
    </row>
    <row r="2998" spans="1:5" ht="14.25">
      <c r="A2998" s="67"/>
      <c r="B2998" s="67"/>
      <c r="C2998" s="67"/>
      <c r="D2998" s="67"/>
      <c r="E2998" s="67"/>
    </row>
    <row r="2999" spans="1:5" ht="14.25">
      <c r="A2999" s="67"/>
      <c r="B2999" s="67"/>
      <c r="C2999" s="67"/>
      <c r="D2999" s="67"/>
      <c r="E2999" s="67"/>
    </row>
    <row r="3000" spans="1:5" ht="14.25">
      <c r="A3000" s="67"/>
      <c r="B3000" s="67"/>
      <c r="C3000" s="67"/>
      <c r="D3000" s="67"/>
      <c r="E3000" s="67"/>
    </row>
    <row r="3001" spans="1:5" ht="14.25">
      <c r="A3001" s="67"/>
      <c r="B3001" s="67"/>
      <c r="C3001" s="67"/>
      <c r="D3001" s="67"/>
      <c r="E3001" s="67"/>
    </row>
    <row r="3002" spans="1:5" ht="14.25">
      <c r="A3002" s="67"/>
      <c r="B3002" s="67"/>
      <c r="C3002" s="67"/>
      <c r="D3002" s="67"/>
      <c r="E3002" s="67"/>
    </row>
    <row r="3003" spans="1:5" ht="14.25">
      <c r="A3003" s="67"/>
      <c r="B3003" s="67"/>
      <c r="C3003" s="67"/>
      <c r="D3003" s="67"/>
      <c r="E3003" s="67"/>
    </row>
    <row r="3004" spans="1:5" ht="14.25">
      <c r="A3004" s="67"/>
      <c r="B3004" s="67"/>
      <c r="C3004" s="67"/>
      <c r="D3004" s="67"/>
      <c r="E3004" s="67"/>
    </row>
    <row r="3005" spans="1:5" ht="14.25">
      <c r="A3005" s="67"/>
      <c r="B3005" s="67"/>
      <c r="C3005" s="67"/>
      <c r="D3005" s="67"/>
      <c r="E3005" s="67"/>
    </row>
    <row r="3006" spans="1:5" ht="14.25">
      <c r="A3006" s="67"/>
      <c r="B3006" s="67"/>
      <c r="C3006" s="67"/>
      <c r="D3006" s="67"/>
      <c r="E3006" s="67"/>
    </row>
    <row r="3007" spans="1:5" ht="14.25">
      <c r="A3007" s="67"/>
      <c r="B3007" s="67"/>
      <c r="C3007" s="67"/>
      <c r="D3007" s="67"/>
      <c r="E3007" s="67"/>
    </row>
    <row r="3008" spans="1:5" ht="14.25">
      <c r="A3008" s="67"/>
      <c r="B3008" s="67"/>
      <c r="C3008" s="67"/>
      <c r="D3008" s="67"/>
      <c r="E3008" s="67"/>
    </row>
    <row r="3009" spans="1:5" ht="14.25">
      <c r="A3009" s="67"/>
      <c r="B3009" s="67"/>
      <c r="C3009" s="67"/>
      <c r="D3009" s="67"/>
      <c r="E3009" s="67"/>
    </row>
    <row r="3010" spans="1:5" ht="14.25">
      <c r="A3010" s="67"/>
      <c r="B3010" s="67"/>
      <c r="C3010" s="67"/>
      <c r="D3010" s="67"/>
      <c r="E3010" s="67"/>
    </row>
    <row r="3011" spans="1:5" ht="14.25">
      <c r="A3011" s="67"/>
      <c r="B3011" s="67"/>
      <c r="C3011" s="67"/>
      <c r="D3011" s="67"/>
      <c r="E3011" s="67"/>
    </row>
    <row r="3012" spans="1:5" ht="14.25">
      <c r="A3012" s="67"/>
      <c r="B3012" s="67"/>
      <c r="C3012" s="67"/>
      <c r="D3012" s="67"/>
      <c r="E3012" s="67"/>
    </row>
    <row r="3013" spans="1:5" ht="14.25">
      <c r="A3013" s="67"/>
      <c r="B3013" s="67"/>
      <c r="C3013" s="67"/>
      <c r="D3013" s="67"/>
      <c r="E3013" s="67"/>
    </row>
    <row r="3014" spans="1:5" ht="14.25">
      <c r="A3014" s="67"/>
      <c r="B3014" s="67"/>
      <c r="C3014" s="67"/>
      <c r="D3014" s="67"/>
      <c r="E3014" s="67"/>
    </row>
    <row r="3015" spans="1:5" ht="14.25">
      <c r="A3015" s="67"/>
      <c r="B3015" s="67"/>
      <c r="C3015" s="67"/>
      <c r="D3015" s="67"/>
      <c r="E3015" s="67"/>
    </row>
    <row r="3016" spans="1:5" ht="14.25">
      <c r="A3016" s="67"/>
      <c r="B3016" s="67"/>
      <c r="C3016" s="67"/>
      <c r="D3016" s="67"/>
      <c r="E3016" s="67"/>
    </row>
    <row r="3017" spans="1:5" ht="14.25">
      <c r="A3017" s="67"/>
      <c r="B3017" s="67"/>
      <c r="C3017" s="67"/>
      <c r="D3017" s="67"/>
      <c r="E3017" s="67"/>
    </row>
    <row r="3018" spans="1:5" ht="14.25">
      <c r="A3018" s="67"/>
      <c r="B3018" s="67"/>
      <c r="C3018" s="67"/>
      <c r="D3018" s="67"/>
      <c r="E3018" s="67"/>
    </row>
    <row r="3019" spans="1:5" ht="14.25">
      <c r="A3019" s="67"/>
      <c r="B3019" s="67"/>
      <c r="C3019" s="67"/>
      <c r="D3019" s="67"/>
      <c r="E3019" s="67"/>
    </row>
    <row r="3020" spans="1:5" ht="14.25">
      <c r="A3020" s="67"/>
      <c r="B3020" s="67"/>
      <c r="C3020" s="67"/>
      <c r="D3020" s="67"/>
      <c r="E3020" s="67"/>
    </row>
    <row r="3021" spans="1:5" ht="14.25">
      <c r="A3021" s="67"/>
      <c r="B3021" s="67"/>
      <c r="C3021" s="67"/>
      <c r="D3021" s="67"/>
      <c r="E3021" s="67"/>
    </row>
    <row r="3022" spans="1:5" ht="14.25">
      <c r="A3022" s="67"/>
      <c r="B3022" s="67"/>
      <c r="C3022" s="67"/>
      <c r="D3022" s="67"/>
      <c r="E3022" s="67"/>
    </row>
    <row r="3023" spans="1:5" ht="14.25">
      <c r="A3023" s="67"/>
      <c r="B3023" s="67"/>
      <c r="C3023" s="67"/>
      <c r="D3023" s="67"/>
      <c r="E3023" s="67"/>
    </row>
    <row r="3024" spans="1:5" ht="14.25">
      <c r="A3024" s="67"/>
      <c r="B3024" s="67"/>
      <c r="C3024" s="67"/>
      <c r="D3024" s="67"/>
      <c r="E3024" s="67"/>
    </row>
    <row r="3025" spans="1:5" ht="14.25">
      <c r="A3025" s="67"/>
      <c r="B3025" s="67"/>
      <c r="C3025" s="67"/>
      <c r="D3025" s="67"/>
      <c r="E3025" s="67"/>
    </row>
    <row r="3026" spans="1:5" ht="14.25">
      <c r="A3026" s="67"/>
      <c r="B3026" s="67"/>
      <c r="C3026" s="67"/>
      <c r="D3026" s="67"/>
      <c r="E3026" s="67"/>
    </row>
    <row r="3027" spans="1:5" ht="14.25">
      <c r="A3027" s="67"/>
      <c r="B3027" s="67"/>
      <c r="C3027" s="67"/>
      <c r="D3027" s="67"/>
      <c r="E3027" s="67"/>
    </row>
    <row r="3028" spans="1:5" ht="14.25">
      <c r="A3028" s="67"/>
      <c r="B3028" s="67"/>
      <c r="C3028" s="67"/>
      <c r="D3028" s="67"/>
      <c r="E3028" s="67"/>
    </row>
    <row r="3029" spans="1:5" ht="14.25">
      <c r="A3029" s="67"/>
      <c r="B3029" s="67"/>
      <c r="C3029" s="67"/>
      <c r="D3029" s="67"/>
      <c r="E3029" s="67"/>
    </row>
    <row r="3030" spans="1:5" ht="14.25">
      <c r="A3030" s="67"/>
      <c r="B3030" s="67"/>
      <c r="C3030" s="67"/>
      <c r="D3030" s="67"/>
      <c r="E3030" s="67"/>
    </row>
    <row r="3031" spans="1:5" ht="14.25">
      <c r="A3031" s="67"/>
      <c r="B3031" s="67"/>
      <c r="C3031" s="67"/>
      <c r="D3031" s="67"/>
      <c r="E3031" s="67"/>
    </row>
    <row r="3032" spans="1:5" ht="14.25">
      <c r="A3032" s="67"/>
      <c r="B3032" s="67"/>
      <c r="C3032" s="67"/>
      <c r="D3032" s="67"/>
      <c r="E3032" s="67"/>
    </row>
    <row r="3033" spans="1:5" ht="14.25">
      <c r="A3033" s="67"/>
      <c r="B3033" s="67"/>
      <c r="C3033" s="67"/>
      <c r="D3033" s="67"/>
      <c r="E3033" s="67"/>
    </row>
    <row r="3034" spans="1:5" ht="14.25">
      <c r="A3034" s="67"/>
      <c r="B3034" s="67"/>
      <c r="C3034" s="67"/>
      <c r="D3034" s="67"/>
      <c r="E3034" s="67"/>
    </row>
    <row r="3035" spans="1:5" ht="14.25">
      <c r="A3035" s="67"/>
      <c r="B3035" s="67"/>
      <c r="C3035" s="67"/>
      <c r="D3035" s="67"/>
      <c r="E3035" s="67"/>
    </row>
    <row r="3036" spans="1:5" ht="14.25">
      <c r="A3036" s="67"/>
      <c r="B3036" s="67"/>
      <c r="C3036" s="67"/>
      <c r="D3036" s="67"/>
      <c r="E3036" s="67"/>
    </row>
    <row r="3037" spans="1:5" ht="14.25">
      <c r="A3037" s="67"/>
      <c r="B3037" s="67"/>
      <c r="C3037" s="67"/>
      <c r="D3037" s="67"/>
      <c r="E3037" s="67"/>
    </row>
    <row r="3038" spans="1:5" ht="14.25">
      <c r="A3038" s="67"/>
      <c r="B3038" s="67"/>
      <c r="C3038" s="67"/>
      <c r="D3038" s="67"/>
      <c r="E3038" s="67"/>
    </row>
    <row r="3039" spans="1:5" ht="14.25">
      <c r="A3039" s="67"/>
      <c r="B3039" s="67"/>
      <c r="C3039" s="67"/>
      <c r="D3039" s="67"/>
      <c r="E3039" s="67"/>
    </row>
    <row r="3040" spans="1:5" ht="14.25">
      <c r="A3040" s="67"/>
      <c r="B3040" s="67"/>
      <c r="C3040" s="67"/>
      <c r="D3040" s="67"/>
      <c r="E3040" s="67"/>
    </row>
    <row r="3041" spans="1:5" ht="14.25">
      <c r="A3041" s="67"/>
      <c r="B3041" s="67"/>
      <c r="C3041" s="67"/>
      <c r="D3041" s="67"/>
      <c r="E3041" s="67"/>
    </row>
    <row r="3042" spans="1:5" ht="14.25">
      <c r="A3042" s="67"/>
      <c r="B3042" s="67"/>
      <c r="C3042" s="67"/>
      <c r="D3042" s="67"/>
      <c r="E3042" s="67"/>
    </row>
    <row r="3043" spans="1:5" ht="14.25">
      <c r="A3043" s="67"/>
      <c r="B3043" s="67"/>
      <c r="C3043" s="67"/>
      <c r="D3043" s="67"/>
      <c r="E3043" s="67"/>
    </row>
    <row r="3044" spans="1:5" ht="14.25">
      <c r="A3044" s="67"/>
      <c r="B3044" s="67"/>
      <c r="C3044" s="67"/>
      <c r="D3044" s="67"/>
      <c r="E3044" s="67"/>
    </row>
    <row r="3045" spans="1:5" ht="14.25">
      <c r="A3045" s="67"/>
      <c r="B3045" s="67"/>
      <c r="C3045" s="67"/>
      <c r="D3045" s="67"/>
      <c r="E3045" s="67"/>
    </row>
    <row r="3046" spans="1:5" ht="14.25">
      <c r="A3046" s="67"/>
      <c r="B3046" s="67"/>
      <c r="C3046" s="67"/>
      <c r="D3046" s="67"/>
      <c r="E3046" s="67"/>
    </row>
    <row r="3047" spans="1:5" ht="14.25">
      <c r="A3047" s="67"/>
      <c r="B3047" s="67"/>
      <c r="C3047" s="67"/>
      <c r="D3047" s="67"/>
      <c r="E3047" s="67"/>
    </row>
    <row r="3048" spans="1:5" ht="14.25">
      <c r="A3048" s="67"/>
      <c r="B3048" s="67"/>
      <c r="C3048" s="67"/>
      <c r="D3048" s="67"/>
      <c r="E3048" s="67"/>
    </row>
    <row r="3049" spans="1:5" ht="14.25">
      <c r="A3049" s="67"/>
      <c r="B3049" s="67"/>
      <c r="C3049" s="67"/>
      <c r="D3049" s="67"/>
      <c r="E3049" s="67"/>
    </row>
    <row r="3050" spans="1:5" ht="14.25">
      <c r="A3050" s="67"/>
      <c r="B3050" s="67"/>
      <c r="C3050" s="67"/>
      <c r="D3050" s="67"/>
      <c r="E3050" s="67"/>
    </row>
    <row r="3051" spans="1:5" ht="14.25">
      <c r="A3051" s="67"/>
      <c r="B3051" s="67"/>
      <c r="C3051" s="67"/>
      <c r="D3051" s="67"/>
      <c r="E3051" s="67"/>
    </row>
    <row r="3052" spans="1:5" ht="14.25">
      <c r="A3052" s="67"/>
      <c r="B3052" s="67"/>
      <c r="C3052" s="67"/>
      <c r="D3052" s="67"/>
      <c r="E3052" s="67"/>
    </row>
    <row r="3053" spans="1:5" ht="14.25">
      <c r="A3053" s="67"/>
      <c r="B3053" s="67"/>
      <c r="C3053" s="67"/>
      <c r="D3053" s="67"/>
      <c r="E3053" s="67"/>
    </row>
    <row r="3054" spans="1:5" ht="14.25">
      <c r="A3054" s="67"/>
      <c r="B3054" s="67"/>
      <c r="C3054" s="67"/>
      <c r="D3054" s="67"/>
      <c r="E3054" s="67"/>
    </row>
    <row r="3055" spans="1:5" ht="14.25">
      <c r="A3055" s="67"/>
      <c r="B3055" s="67"/>
      <c r="C3055" s="67"/>
      <c r="D3055" s="67"/>
      <c r="E3055" s="67"/>
    </row>
    <row r="3056" spans="1:5" ht="14.25">
      <c r="A3056" s="67"/>
      <c r="B3056" s="67"/>
      <c r="C3056" s="67"/>
      <c r="D3056" s="67"/>
      <c r="E3056" s="67"/>
    </row>
    <row r="3057" spans="1:5" ht="14.25">
      <c r="A3057" s="67"/>
      <c r="B3057" s="67"/>
      <c r="C3057" s="67"/>
      <c r="D3057" s="67"/>
      <c r="E3057" s="67"/>
    </row>
    <row r="3058" spans="1:5" ht="14.25">
      <c r="A3058" s="67"/>
      <c r="B3058" s="67"/>
      <c r="C3058" s="67"/>
      <c r="D3058" s="67"/>
      <c r="E3058" s="67"/>
    </row>
    <row r="3059" spans="1:5" ht="14.25">
      <c r="A3059" s="67"/>
      <c r="B3059" s="67"/>
      <c r="C3059" s="67"/>
      <c r="D3059" s="67"/>
      <c r="E3059" s="67"/>
    </row>
    <row r="3060" spans="1:5" ht="14.25">
      <c r="A3060" s="67"/>
      <c r="B3060" s="67"/>
      <c r="C3060" s="67"/>
      <c r="D3060" s="67"/>
      <c r="E3060" s="67"/>
    </row>
    <row r="3061" spans="1:5" ht="14.25">
      <c r="A3061" s="67"/>
      <c r="B3061" s="67"/>
      <c r="C3061" s="67"/>
      <c r="D3061" s="67"/>
      <c r="E3061" s="67"/>
    </row>
    <row r="3062" spans="1:5" ht="14.25">
      <c r="A3062" s="67"/>
      <c r="B3062" s="67"/>
      <c r="C3062" s="67"/>
      <c r="D3062" s="67"/>
      <c r="E3062" s="67"/>
    </row>
    <row r="3063" spans="1:5" ht="14.25">
      <c r="A3063" s="67"/>
      <c r="B3063" s="67"/>
      <c r="C3063" s="67"/>
      <c r="D3063" s="67"/>
      <c r="E3063" s="67"/>
    </row>
    <row r="3064" spans="1:5" ht="14.25">
      <c r="A3064" s="67"/>
      <c r="B3064" s="67"/>
      <c r="C3064" s="67"/>
      <c r="D3064" s="67"/>
      <c r="E3064" s="67"/>
    </row>
    <row r="3065" spans="1:5" ht="14.25">
      <c r="A3065" s="67"/>
      <c r="B3065" s="67"/>
      <c r="C3065" s="67"/>
      <c r="D3065" s="67"/>
      <c r="E3065" s="67"/>
    </row>
    <row r="3066" spans="1:5" ht="14.25">
      <c r="A3066" s="67"/>
      <c r="B3066" s="67"/>
      <c r="C3066" s="67"/>
      <c r="D3066" s="67"/>
      <c r="E3066" s="67"/>
    </row>
    <row r="3067" spans="1:5" ht="14.25">
      <c r="A3067" s="67"/>
      <c r="B3067" s="67"/>
      <c r="C3067" s="67"/>
      <c r="D3067" s="67"/>
      <c r="E3067" s="67"/>
    </row>
    <row r="3068" spans="1:5" ht="14.25">
      <c r="A3068" s="67"/>
      <c r="B3068" s="67"/>
      <c r="C3068" s="67"/>
      <c r="D3068" s="67"/>
      <c r="E3068" s="67"/>
    </row>
    <row r="3069" spans="1:5" ht="14.25">
      <c r="A3069" s="67"/>
      <c r="B3069" s="67"/>
      <c r="C3069" s="67"/>
      <c r="D3069" s="67"/>
      <c r="E3069" s="67"/>
    </row>
    <row r="3070" spans="1:5" ht="14.25">
      <c r="A3070" s="67"/>
      <c r="B3070" s="67"/>
      <c r="C3070" s="67"/>
      <c r="D3070" s="67"/>
      <c r="E3070" s="67"/>
    </row>
    <row r="3071" spans="1:5" ht="14.25">
      <c r="A3071" s="67"/>
      <c r="B3071" s="67"/>
      <c r="C3071" s="67"/>
      <c r="D3071" s="67"/>
      <c r="E3071" s="67"/>
    </row>
    <row r="3072" spans="1:5" ht="14.25">
      <c r="A3072" s="67"/>
      <c r="B3072" s="67"/>
      <c r="C3072" s="67"/>
      <c r="D3072" s="67"/>
      <c r="E3072" s="67"/>
    </row>
    <row r="3073" spans="1:5" ht="14.25">
      <c r="A3073" s="67"/>
      <c r="B3073" s="67"/>
      <c r="C3073" s="67"/>
      <c r="D3073" s="67"/>
      <c r="E3073" s="67"/>
    </row>
    <row r="3074" spans="1:5" ht="14.25">
      <c r="A3074" s="67"/>
      <c r="B3074" s="67"/>
      <c r="C3074" s="67"/>
      <c r="D3074" s="67"/>
      <c r="E3074" s="67"/>
    </row>
    <row r="3075" spans="1:5" ht="14.25">
      <c r="A3075" s="67"/>
      <c r="B3075" s="67"/>
      <c r="C3075" s="67"/>
      <c r="D3075" s="67"/>
      <c r="E3075" s="67"/>
    </row>
    <row r="3076" spans="1:5" ht="14.25">
      <c r="A3076" s="67"/>
      <c r="B3076" s="67"/>
      <c r="C3076" s="67"/>
      <c r="D3076" s="67"/>
      <c r="E3076" s="67"/>
    </row>
    <row r="3077" spans="1:5" ht="14.25">
      <c r="A3077" s="67"/>
      <c r="B3077" s="67"/>
      <c r="C3077" s="67"/>
      <c r="D3077" s="67"/>
      <c r="E3077" s="67"/>
    </row>
    <row r="3078" spans="1:5" ht="14.25">
      <c r="A3078" s="67"/>
      <c r="B3078" s="67"/>
      <c r="C3078" s="67"/>
      <c r="D3078" s="67"/>
      <c r="E3078" s="67"/>
    </row>
    <row r="3079" spans="1:5" ht="14.25">
      <c r="A3079" s="67"/>
      <c r="B3079" s="67"/>
      <c r="C3079" s="67"/>
      <c r="D3079" s="67"/>
      <c r="E3079" s="67"/>
    </row>
    <row r="3080" spans="1:5" ht="14.25">
      <c r="A3080" s="67"/>
      <c r="B3080" s="67"/>
      <c r="C3080" s="67"/>
      <c r="D3080" s="67"/>
      <c r="E3080" s="67"/>
    </row>
    <row r="3081" spans="1:5" ht="14.25">
      <c r="A3081" s="67"/>
      <c r="B3081" s="67"/>
      <c r="C3081" s="67"/>
      <c r="D3081" s="67"/>
      <c r="E3081" s="67"/>
    </row>
    <row r="3082" spans="1:5" ht="14.25">
      <c r="A3082" s="67"/>
      <c r="B3082" s="67"/>
      <c r="C3082" s="67"/>
      <c r="D3082" s="67"/>
      <c r="E3082" s="67"/>
    </row>
    <row r="3083" spans="1:5" ht="14.25">
      <c r="A3083" s="67"/>
      <c r="B3083" s="67"/>
      <c r="C3083" s="67"/>
      <c r="D3083" s="67"/>
      <c r="E3083" s="67"/>
    </row>
    <row r="3084" spans="1:5" ht="14.25">
      <c r="A3084" s="67"/>
      <c r="B3084" s="67"/>
      <c r="C3084" s="67"/>
      <c r="D3084" s="67"/>
      <c r="E3084" s="67"/>
    </row>
    <row r="3085" spans="1:5" ht="14.25">
      <c r="A3085" s="67"/>
      <c r="B3085" s="67"/>
      <c r="C3085" s="67"/>
      <c r="D3085" s="67"/>
      <c r="E3085" s="67"/>
    </row>
    <row r="3086" spans="1:5" ht="14.25">
      <c r="A3086" s="67"/>
      <c r="B3086" s="67"/>
      <c r="C3086" s="67"/>
      <c r="D3086" s="67"/>
      <c r="E3086" s="67"/>
    </row>
    <row r="3087" spans="1:5" ht="14.25">
      <c r="A3087" s="67"/>
      <c r="B3087" s="67"/>
      <c r="C3087" s="67"/>
      <c r="D3087" s="67"/>
      <c r="E3087" s="67"/>
    </row>
    <row r="3088" spans="1:5" ht="14.25">
      <c r="A3088" s="67"/>
      <c r="B3088" s="67"/>
      <c r="C3088" s="67"/>
      <c r="D3088" s="67"/>
      <c r="E3088" s="67"/>
    </row>
    <row r="3089" spans="1:5" ht="14.25">
      <c r="A3089" s="67"/>
      <c r="B3089" s="67"/>
      <c r="C3089" s="67"/>
      <c r="D3089" s="67"/>
      <c r="E3089" s="67"/>
    </row>
    <row r="3090" spans="1:5" ht="14.25">
      <c r="A3090" s="67"/>
      <c r="B3090" s="67"/>
      <c r="C3090" s="67"/>
      <c r="D3090" s="67"/>
      <c r="E3090" s="67"/>
    </row>
    <row r="3091" spans="1:5" ht="14.25">
      <c r="A3091" s="67"/>
      <c r="B3091" s="67"/>
      <c r="C3091" s="67"/>
      <c r="D3091" s="67"/>
      <c r="E3091" s="67"/>
    </row>
    <row r="3092" spans="1:5" ht="14.25">
      <c r="A3092" s="67"/>
      <c r="B3092" s="67"/>
      <c r="C3092" s="67"/>
      <c r="D3092" s="67"/>
      <c r="E3092" s="67"/>
    </row>
    <row r="3093" spans="1:5" ht="14.25">
      <c r="A3093" s="67"/>
      <c r="B3093" s="67"/>
      <c r="C3093" s="67"/>
      <c r="D3093" s="67"/>
      <c r="E3093" s="67"/>
    </row>
    <row r="3094" spans="1:5" ht="14.25">
      <c r="A3094" s="67"/>
      <c r="B3094" s="67"/>
      <c r="C3094" s="67"/>
      <c r="D3094" s="67"/>
      <c r="E3094" s="67"/>
    </row>
    <row r="3095" spans="1:5" ht="14.25">
      <c r="A3095" s="67"/>
      <c r="B3095" s="67"/>
      <c r="C3095" s="67"/>
      <c r="D3095" s="67"/>
      <c r="E3095" s="67"/>
    </row>
    <row r="3096" spans="1:5" ht="14.25">
      <c r="A3096" s="67"/>
      <c r="B3096" s="67"/>
      <c r="C3096" s="67"/>
      <c r="D3096" s="67"/>
      <c r="E3096" s="67"/>
    </row>
    <row r="3097" spans="1:5" ht="14.25">
      <c r="A3097" s="67"/>
      <c r="B3097" s="67"/>
      <c r="C3097" s="67"/>
      <c r="D3097" s="67"/>
      <c r="E3097" s="67"/>
    </row>
    <row r="3098" spans="1:5" ht="14.25">
      <c r="A3098" s="67"/>
      <c r="B3098" s="67"/>
      <c r="C3098" s="67"/>
      <c r="D3098" s="67"/>
      <c r="E3098" s="67"/>
    </row>
    <row r="3099" spans="1:5" ht="14.25">
      <c r="A3099" s="67"/>
      <c r="B3099" s="67"/>
      <c r="C3099" s="67"/>
      <c r="D3099" s="67"/>
      <c r="E3099" s="67"/>
    </row>
    <row r="3100" spans="1:5" ht="14.25">
      <c r="A3100" s="67"/>
      <c r="B3100" s="67"/>
      <c r="C3100" s="67"/>
      <c r="D3100" s="67"/>
      <c r="E3100" s="67"/>
    </row>
    <row r="3101" spans="1:5" ht="14.25">
      <c r="A3101" s="67"/>
      <c r="B3101" s="67"/>
      <c r="C3101" s="67"/>
      <c r="D3101" s="67"/>
      <c r="E3101" s="67"/>
    </row>
    <row r="3102" spans="1:5" ht="14.25">
      <c r="A3102" s="67"/>
      <c r="B3102" s="67"/>
      <c r="C3102" s="67"/>
      <c r="D3102" s="67"/>
      <c r="E3102" s="67"/>
    </row>
    <row r="3103" spans="1:5" ht="14.25">
      <c r="A3103" s="67"/>
      <c r="B3103" s="67"/>
      <c r="C3103" s="67"/>
      <c r="D3103" s="67"/>
      <c r="E3103" s="67"/>
    </row>
    <row r="3104" spans="1:5" ht="14.25">
      <c r="A3104" s="67"/>
      <c r="B3104" s="67"/>
      <c r="C3104" s="67"/>
      <c r="D3104" s="67"/>
      <c r="E3104" s="67"/>
    </row>
    <row r="3105" spans="1:5" ht="14.25">
      <c r="A3105" s="67"/>
      <c r="B3105" s="67"/>
      <c r="C3105" s="67"/>
      <c r="D3105" s="67"/>
      <c r="E3105" s="67"/>
    </row>
    <row r="3106" spans="1:5" ht="14.25">
      <c r="A3106" s="67"/>
      <c r="B3106" s="67"/>
      <c r="C3106" s="67"/>
      <c r="D3106" s="67"/>
      <c r="E3106" s="67"/>
    </row>
    <row r="3107" spans="1:5" ht="14.25">
      <c r="A3107" s="67"/>
      <c r="B3107" s="67"/>
      <c r="C3107" s="67"/>
      <c r="D3107" s="67"/>
      <c r="E3107" s="67"/>
    </row>
    <row r="3108" spans="1:5" ht="14.25">
      <c r="A3108" s="67"/>
      <c r="B3108" s="67"/>
      <c r="C3108" s="67"/>
      <c r="D3108" s="67"/>
      <c r="E3108" s="67"/>
    </row>
    <row r="3109" spans="1:5" ht="14.25">
      <c r="A3109" s="67"/>
      <c r="B3109" s="67"/>
      <c r="C3109" s="67"/>
      <c r="D3109" s="67"/>
      <c r="E3109" s="67"/>
    </row>
    <row r="3110" spans="1:5" ht="14.25">
      <c r="A3110" s="67"/>
      <c r="B3110" s="67"/>
      <c r="C3110" s="67"/>
      <c r="D3110" s="67"/>
      <c r="E3110" s="67"/>
    </row>
    <row r="3111" spans="1:5" ht="14.25">
      <c r="A3111" s="67"/>
      <c r="B3111" s="67"/>
      <c r="C3111" s="67"/>
      <c r="D3111" s="67"/>
      <c r="E3111" s="67"/>
    </row>
    <row r="3112" spans="1:5" ht="14.25">
      <c r="A3112" s="67"/>
      <c r="B3112" s="67"/>
      <c r="C3112" s="67"/>
      <c r="D3112" s="67"/>
      <c r="E3112" s="67"/>
    </row>
    <row r="3113" spans="1:5" ht="14.25">
      <c r="A3113" s="67"/>
      <c r="B3113" s="67"/>
      <c r="C3113" s="67"/>
      <c r="D3113" s="67"/>
      <c r="E3113" s="67"/>
    </row>
    <row r="3114" spans="1:5" ht="14.25">
      <c r="A3114" s="67"/>
      <c r="B3114" s="67"/>
      <c r="C3114" s="67"/>
      <c r="D3114" s="67"/>
      <c r="E3114" s="67"/>
    </row>
    <row r="3115" spans="1:5" ht="14.25">
      <c r="A3115" s="67"/>
      <c r="B3115" s="67"/>
      <c r="C3115" s="67"/>
      <c r="D3115" s="67"/>
      <c r="E3115" s="67"/>
    </row>
    <row r="3116" spans="1:5" ht="14.25">
      <c r="A3116" s="67"/>
      <c r="B3116" s="67"/>
      <c r="C3116" s="67"/>
      <c r="D3116" s="67"/>
      <c r="E3116" s="67"/>
    </row>
    <row r="3117" spans="1:5" ht="14.25">
      <c r="A3117" s="67"/>
      <c r="B3117" s="67"/>
      <c r="C3117" s="67"/>
      <c r="D3117" s="67"/>
      <c r="E3117" s="67"/>
    </row>
    <row r="3118" spans="1:5" ht="14.25">
      <c r="A3118" s="67"/>
      <c r="B3118" s="67"/>
      <c r="C3118" s="67"/>
      <c r="D3118" s="67"/>
      <c r="E3118" s="67"/>
    </row>
    <row r="3119" spans="1:5" ht="14.25">
      <c r="A3119" s="67"/>
      <c r="B3119" s="67"/>
      <c r="C3119" s="67"/>
      <c r="D3119" s="67"/>
      <c r="E3119" s="67"/>
    </row>
    <row r="3120" spans="1:5" ht="14.25">
      <c r="A3120" s="67"/>
      <c r="B3120" s="67"/>
      <c r="C3120" s="67"/>
      <c r="D3120" s="67"/>
      <c r="E3120" s="67"/>
    </row>
    <row r="3121" spans="1:5" ht="14.25">
      <c r="A3121" s="67"/>
      <c r="B3121" s="67"/>
      <c r="C3121" s="67"/>
      <c r="D3121" s="67"/>
      <c r="E3121" s="67"/>
    </row>
    <row r="3122" spans="1:5" ht="14.25">
      <c r="A3122" s="67"/>
      <c r="B3122" s="67"/>
      <c r="C3122" s="67"/>
      <c r="D3122" s="67"/>
      <c r="E3122" s="67"/>
    </row>
  </sheetData>
  <sheetProtection sheet="1" formatCells="0" formatColumns="0" formatRows="0" insertColumns="0" insertRows="0" insertHyperlinks="0" deleteColumns="0" deleteRows="0"/>
  <protectedRanges>
    <protectedRange password="CF7A" sqref="A257:B266 C261 C265:E266 C264:D264 C263 D263:D266 E257:E263 C257:D260 C262:D262" name="Range1_1"/>
  </protectedRanges>
  <mergeCells count="9">
    <mergeCell ref="A4:B4"/>
    <mergeCell ref="A8:E8"/>
    <mergeCell ref="C3:E3"/>
    <mergeCell ref="C1:E1"/>
    <mergeCell ref="C4:E4"/>
    <mergeCell ref="A3:B3"/>
    <mergeCell ref="A2:B2"/>
    <mergeCell ref="A1:B1"/>
    <mergeCell ref="A6:E6"/>
  </mergeCells>
  <printOptions horizontalCentered="1"/>
  <pageMargins left="0.7086614173228347" right="0.15748031496062992" top="0.35433070866141736" bottom="0.5" header="0.31496062992125984" footer="0.31496062992125984"/>
  <pageSetup horizontalDpi="600" verticalDpi="600" orientation="portrait" paperSize="9" scale="70" r:id="rId1"/>
  <headerFooter alignWithMargins="0">
    <oddFooter>&amp;CСтраница: &amp;"Arial,Bold"&amp;11&amp;P &amp;"Arial,Regular"&amp;10от: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96"/>
  <sheetViews>
    <sheetView zoomScale="90" zoomScaleNormal="90" zoomScalePageLayoutView="0" workbookViewId="0" topLeftCell="A1">
      <selection activeCell="C5" sqref="C5:G5"/>
    </sheetView>
  </sheetViews>
  <sheetFormatPr defaultColWidth="9.140625" defaultRowHeight="12.75"/>
  <cols>
    <col min="1" max="1" width="7.28125" style="29" customWidth="1"/>
    <col min="2" max="2" width="20.0039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7.8515625" style="29" customWidth="1"/>
    <col min="9" max="9" width="8.00390625" style="29" bestFit="1" customWidth="1"/>
    <col min="10" max="10" width="8.57421875" style="29" customWidth="1"/>
    <col min="11" max="11" width="7.8515625" style="29" customWidth="1"/>
    <col min="12" max="12" width="8.7109375" style="29" customWidth="1"/>
    <col min="13" max="13" width="8.8515625" style="29" customWidth="1"/>
    <col min="14" max="14" width="9.140625" style="29" customWidth="1"/>
    <col min="15" max="15" width="8.140625" style="29" customWidth="1"/>
    <col min="16" max="16" width="9.57421875" style="29" customWidth="1"/>
    <col min="17" max="17" width="7.8515625" style="29" customWidth="1"/>
    <col min="18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571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8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7" s="30" customFormat="1" ht="28.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2" t="s">
        <v>23</v>
      </c>
      <c r="M8" s="13"/>
      <c r="N8" s="48" t="s">
        <v>350</v>
      </c>
      <c r="O8" s="48">
        <v>131</v>
      </c>
      <c r="P8" s="48" t="s">
        <v>286</v>
      </c>
      <c r="Q8" s="48"/>
    </row>
    <row r="9" spans="1:17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483.89</v>
      </c>
      <c r="J9" s="73">
        <v>36</v>
      </c>
      <c r="K9" s="73">
        <v>180.32</v>
      </c>
      <c r="L9" s="73">
        <v>42.88</v>
      </c>
      <c r="M9" s="47"/>
      <c r="N9" s="74" t="s">
        <v>210</v>
      </c>
      <c r="O9" s="74">
        <v>1.2</v>
      </c>
      <c r="P9" s="48" t="s">
        <v>287</v>
      </c>
      <c r="Q9" s="48"/>
    </row>
    <row r="10" spans="1:17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101.68</v>
      </c>
      <c r="J10" s="48">
        <v>5.63</v>
      </c>
      <c r="K10" s="48">
        <v>25.88</v>
      </c>
      <c r="L10" s="48">
        <v>69.12</v>
      </c>
      <c r="M10" s="47"/>
      <c r="N10" s="48" t="s">
        <v>351</v>
      </c>
      <c r="O10" s="48">
        <v>6</v>
      </c>
      <c r="P10" s="48" t="s">
        <v>288</v>
      </c>
      <c r="Q10" s="48"/>
    </row>
    <row r="11" spans="1:20" ht="15" thickBot="1">
      <c r="A11" s="494"/>
      <c r="B11" s="490"/>
      <c r="C11" s="490"/>
      <c r="D11" s="489"/>
      <c r="E11" s="489"/>
      <c r="F11" s="490"/>
      <c r="G11" s="490"/>
      <c r="H11" s="14"/>
      <c r="I11" s="48">
        <v>58.58</v>
      </c>
      <c r="J11" s="48">
        <v>260.3</v>
      </c>
      <c r="K11" s="48">
        <v>648</v>
      </c>
      <c r="L11" s="48">
        <v>335.72</v>
      </c>
      <c r="M11" s="47"/>
      <c r="N11" s="48" t="s">
        <v>213</v>
      </c>
      <c r="O11" s="48">
        <v>1798</v>
      </c>
      <c r="P11" s="74" t="s">
        <v>252</v>
      </c>
      <c r="Q11" s="74"/>
      <c r="R11" s="15"/>
      <c r="S11" s="15"/>
      <c r="T11" s="15"/>
    </row>
    <row r="12" spans="1:17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61.25</v>
      </c>
      <c r="J12" s="48">
        <v>42.05</v>
      </c>
      <c r="K12" s="48">
        <v>91.12</v>
      </c>
      <c r="L12" s="48">
        <v>535.92</v>
      </c>
      <c r="M12" s="47"/>
      <c r="N12" s="48" t="s">
        <v>209</v>
      </c>
      <c r="O12" s="5">
        <v>2.5</v>
      </c>
      <c r="P12" s="48" t="s">
        <v>284</v>
      </c>
      <c r="Q12" s="48"/>
    </row>
    <row r="13" spans="1:17" ht="14.25">
      <c r="A13" s="48">
        <v>1</v>
      </c>
      <c r="B13" s="430"/>
      <c r="C13" s="53" t="s">
        <v>258</v>
      </c>
      <c r="D13" s="48" t="s">
        <v>190</v>
      </c>
      <c r="E13" s="51">
        <f>O11*2</f>
        <v>3596</v>
      </c>
      <c r="F13" s="377"/>
      <c r="G13" s="52">
        <f aca="true" t="shared" si="0" ref="G13:G19">E13*F13</f>
        <v>0</v>
      </c>
      <c r="H13" s="7"/>
      <c r="I13" s="48">
        <v>136.62</v>
      </c>
      <c r="J13" s="48">
        <v>1471.32</v>
      </c>
      <c r="K13" s="102"/>
      <c r="L13" s="48"/>
      <c r="M13" s="47"/>
      <c r="N13" s="48" t="s">
        <v>208</v>
      </c>
      <c r="O13" s="48">
        <f>O8*O9*2*O10</f>
        <v>1886.3999999999999</v>
      </c>
      <c r="P13" s="48" t="s">
        <v>253</v>
      </c>
      <c r="Q13" s="48"/>
    </row>
    <row r="14" spans="1:17" ht="14.25">
      <c r="A14" s="48">
        <v>2</v>
      </c>
      <c r="B14" s="430"/>
      <c r="C14" s="53" t="s">
        <v>289</v>
      </c>
      <c r="D14" s="48">
        <v>90</v>
      </c>
      <c r="E14" s="51">
        <f>O8*3.5*2+Q8*6*2</f>
        <v>917</v>
      </c>
      <c r="F14" s="377"/>
      <c r="G14" s="52">
        <f t="shared" si="0"/>
        <v>0</v>
      </c>
      <c r="H14" s="7"/>
      <c r="I14" s="48">
        <v>33.08</v>
      </c>
      <c r="J14" s="48">
        <v>231.83</v>
      </c>
      <c r="K14" s="102"/>
      <c r="L14" s="48"/>
      <c r="M14" s="75"/>
      <c r="N14" s="48" t="s">
        <v>212</v>
      </c>
      <c r="O14" s="48">
        <v>35</v>
      </c>
      <c r="P14" s="48" t="s">
        <v>209</v>
      </c>
      <c r="Q14" s="48"/>
    </row>
    <row r="15" spans="1:17" ht="28.5">
      <c r="A15" s="48">
        <v>3</v>
      </c>
      <c r="B15" s="430"/>
      <c r="C15" s="53" t="s">
        <v>260</v>
      </c>
      <c r="D15" s="48" t="s">
        <v>386</v>
      </c>
      <c r="E15" s="51">
        <f>O11*O12</f>
        <v>4495</v>
      </c>
      <c r="F15" s="377"/>
      <c r="G15" s="52">
        <f t="shared" si="0"/>
        <v>0</v>
      </c>
      <c r="H15" s="7"/>
      <c r="I15" s="102"/>
      <c r="J15" s="48">
        <v>1168.44</v>
      </c>
      <c r="K15" s="102"/>
      <c r="L15" s="48"/>
      <c r="M15" s="75"/>
      <c r="N15" s="48" t="s">
        <v>33</v>
      </c>
      <c r="O15" s="48"/>
      <c r="P15" s="48" t="s">
        <v>216</v>
      </c>
      <c r="Q15" s="48"/>
    </row>
    <row r="16" spans="1:15" ht="28.5">
      <c r="A16" s="48">
        <v>4</v>
      </c>
      <c r="B16" s="430"/>
      <c r="C16" s="53" t="s">
        <v>290</v>
      </c>
      <c r="D16" s="48" t="s">
        <v>386</v>
      </c>
      <c r="E16" s="51">
        <f>O8*O9*3+Q8*Q11*6</f>
        <v>471.59999999999997</v>
      </c>
      <c r="F16" s="377"/>
      <c r="G16" s="52">
        <f t="shared" si="0"/>
        <v>0</v>
      </c>
      <c r="H16" s="7"/>
      <c r="I16" s="102"/>
      <c r="J16" s="48">
        <v>187.25</v>
      </c>
      <c r="K16" s="102"/>
      <c r="L16" s="102"/>
      <c r="M16" s="75"/>
      <c r="N16" s="34"/>
      <c r="O16" s="34"/>
    </row>
    <row r="17" spans="1:15" ht="14.25">
      <c r="A17" s="48">
        <v>5</v>
      </c>
      <c r="B17" s="430"/>
      <c r="C17" s="53" t="s">
        <v>39</v>
      </c>
      <c r="D17" s="48" t="s">
        <v>190</v>
      </c>
      <c r="E17" s="51">
        <f>(O8)*1+Q10*1</f>
        <v>131</v>
      </c>
      <c r="F17" s="377"/>
      <c r="G17" s="52">
        <f t="shared" si="0"/>
        <v>0</v>
      </c>
      <c r="H17" s="7"/>
      <c r="I17" s="102"/>
      <c r="J17" s="48">
        <v>361.92</v>
      </c>
      <c r="K17" s="102"/>
      <c r="L17" s="102"/>
      <c r="M17" s="75"/>
      <c r="N17" s="34"/>
      <c r="O17" s="34"/>
    </row>
    <row r="18" spans="1:15" ht="16.5">
      <c r="A18" s="48">
        <v>6</v>
      </c>
      <c r="B18" s="430"/>
      <c r="C18" s="53" t="s">
        <v>40</v>
      </c>
      <c r="D18" s="48" t="s">
        <v>386</v>
      </c>
      <c r="E18" s="51">
        <f>(O8)*2+Q10*2</f>
        <v>262</v>
      </c>
      <c r="F18" s="377"/>
      <c r="G18" s="52">
        <f t="shared" si="0"/>
        <v>0</v>
      </c>
      <c r="H18" s="7"/>
      <c r="I18" s="102"/>
      <c r="J18" s="48">
        <v>55.5</v>
      </c>
      <c r="K18" s="102"/>
      <c r="L18" s="102"/>
      <c r="M18" s="75"/>
      <c r="N18" s="34"/>
      <c r="O18" s="34"/>
    </row>
    <row r="19" spans="1:15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522.86</v>
      </c>
      <c r="F19" s="377"/>
      <c r="G19" s="52">
        <f t="shared" si="0"/>
        <v>0</v>
      </c>
      <c r="H19" s="7"/>
      <c r="I19" s="102"/>
      <c r="J19" s="48">
        <v>145.12</v>
      </c>
      <c r="K19" s="102"/>
      <c r="L19" s="102"/>
      <c r="M19" s="75"/>
      <c r="N19" s="34"/>
      <c r="O19" s="34"/>
    </row>
    <row r="20" spans="1:14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102"/>
      <c r="J20" s="48">
        <v>686.29</v>
      </c>
      <c r="K20" s="102"/>
      <c r="L20" s="102"/>
      <c r="M20" s="75"/>
      <c r="N20" s="34"/>
    </row>
    <row r="21" spans="1:14" ht="16.5">
      <c r="A21" s="497">
        <f>A20+1</f>
        <v>9</v>
      </c>
      <c r="B21" s="357"/>
      <c r="C21" s="49" t="s">
        <v>264</v>
      </c>
      <c r="D21" s="50" t="s">
        <v>385</v>
      </c>
      <c r="E21" s="51">
        <f>0.7*I33</f>
        <v>612.5699999999999</v>
      </c>
      <c r="F21" s="377"/>
      <c r="G21" s="52">
        <f>E21*F21</f>
        <v>0</v>
      </c>
      <c r="H21" s="7"/>
      <c r="I21" s="102"/>
      <c r="J21" s="48">
        <v>104.13</v>
      </c>
      <c r="K21" s="102"/>
      <c r="L21" s="102"/>
      <c r="M21" s="75"/>
      <c r="N21" s="34"/>
    </row>
    <row r="22" spans="1:13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0.05*I33</f>
        <v>43.755</v>
      </c>
      <c r="F22" s="377"/>
      <c r="G22" s="52">
        <f>E22*F22</f>
        <v>0</v>
      </c>
      <c r="H22" s="7"/>
      <c r="I22" s="102"/>
      <c r="J22" s="48">
        <v>1200.32</v>
      </c>
      <c r="K22" s="102"/>
      <c r="L22" s="102"/>
      <c r="M22" s="75"/>
    </row>
    <row r="23" spans="1:13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0.25*I33</f>
        <v>218.775</v>
      </c>
      <c r="F23" s="377"/>
      <c r="G23" s="52">
        <f>E23*F23</f>
        <v>0</v>
      </c>
      <c r="H23" s="7"/>
      <c r="I23" s="102"/>
      <c r="J23" s="48">
        <v>215.6</v>
      </c>
      <c r="K23" s="102"/>
      <c r="L23" s="102"/>
      <c r="M23" s="75"/>
    </row>
    <row r="24" spans="1:13" ht="15" customHeight="1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102"/>
      <c r="J24" s="48">
        <v>1106.86</v>
      </c>
      <c r="K24" s="102"/>
      <c r="L24" s="102"/>
      <c r="M24" s="75"/>
    </row>
    <row r="25" spans="1:13" ht="16.5">
      <c r="A25" s="497">
        <f>A24+1</f>
        <v>10</v>
      </c>
      <c r="B25" s="357"/>
      <c r="C25" s="49" t="s">
        <v>264</v>
      </c>
      <c r="D25" s="50" t="s">
        <v>385</v>
      </c>
      <c r="E25" s="51">
        <f>0.7*J33</f>
        <v>6329.763999999998</v>
      </c>
      <c r="F25" s="377"/>
      <c r="G25" s="52">
        <f>E25*F25</f>
        <v>0</v>
      </c>
      <c r="H25" s="7"/>
      <c r="I25" s="102"/>
      <c r="J25" s="48">
        <v>186.2</v>
      </c>
      <c r="K25" s="102"/>
      <c r="L25" s="102"/>
      <c r="M25" s="75"/>
    </row>
    <row r="26" spans="1:13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0.05*J33</f>
        <v>452.126</v>
      </c>
      <c r="F26" s="377"/>
      <c r="G26" s="52">
        <f>E26*F26</f>
        <v>0</v>
      </c>
      <c r="H26" s="7"/>
      <c r="I26" s="102"/>
      <c r="J26" s="48">
        <v>1090.94</v>
      </c>
      <c r="K26" s="102"/>
      <c r="L26" s="102"/>
      <c r="M26" s="75"/>
    </row>
    <row r="27" spans="1:13" ht="15" customHeight="1">
      <c r="A27" s="498">
        <f>A26+1</f>
        <v>12</v>
      </c>
      <c r="B27" s="357"/>
      <c r="C27" s="49" t="s">
        <v>265</v>
      </c>
      <c r="D27" s="50" t="s">
        <v>385</v>
      </c>
      <c r="E27" s="51">
        <f>0.25*J33</f>
        <v>2260.6299999999997</v>
      </c>
      <c r="F27" s="377"/>
      <c r="G27" s="52">
        <f>E27*F27</f>
        <v>0</v>
      </c>
      <c r="H27" s="7"/>
      <c r="I27" s="102"/>
      <c r="J27" s="48">
        <v>197.22</v>
      </c>
      <c r="K27" s="102"/>
      <c r="L27" s="102"/>
      <c r="M27" s="75"/>
    </row>
    <row r="28" spans="1:13" ht="15" customHeight="1">
      <c r="A28" s="496">
        <v>10</v>
      </c>
      <c r="B28" s="48"/>
      <c r="C28" s="53" t="s">
        <v>306</v>
      </c>
      <c r="D28" s="48"/>
      <c r="E28" s="48"/>
      <c r="F28" s="52"/>
      <c r="G28" s="52"/>
      <c r="H28" s="7"/>
      <c r="I28" s="102"/>
      <c r="J28" s="48">
        <v>147</v>
      </c>
      <c r="K28" s="102"/>
      <c r="L28" s="102"/>
      <c r="M28" s="75"/>
    </row>
    <row r="29" spans="1:13" ht="16.5">
      <c r="A29" s="497">
        <f>A28+1</f>
        <v>11</v>
      </c>
      <c r="B29" s="357"/>
      <c r="C29" s="49" t="s">
        <v>264</v>
      </c>
      <c r="D29" s="50" t="s">
        <v>385</v>
      </c>
      <c r="E29" s="51">
        <f>0.7*K33</f>
        <v>661.724</v>
      </c>
      <c r="F29" s="377"/>
      <c r="G29" s="52">
        <f>E29*F29</f>
        <v>0</v>
      </c>
      <c r="H29" s="7"/>
      <c r="I29" s="102"/>
      <c r="J29" s="48">
        <v>142.6</v>
      </c>
      <c r="K29" s="102"/>
      <c r="L29" s="102"/>
      <c r="M29" s="75"/>
    </row>
    <row r="30" spans="1:13" ht="16.5">
      <c r="A30" s="497">
        <f>A29+1</f>
        <v>12</v>
      </c>
      <c r="B30" s="357"/>
      <c r="C30" s="53" t="s">
        <v>263</v>
      </c>
      <c r="D30" s="50" t="s">
        <v>385</v>
      </c>
      <c r="E30" s="51">
        <f>0.05*K33</f>
        <v>47.266000000000005</v>
      </c>
      <c r="F30" s="377"/>
      <c r="G30" s="52">
        <f>E30*F30</f>
        <v>0</v>
      </c>
      <c r="H30" s="7"/>
      <c r="I30" s="102"/>
      <c r="K30" s="102"/>
      <c r="L30" s="102"/>
      <c r="M30" s="75"/>
    </row>
    <row r="31" spans="1:13" ht="15" customHeight="1">
      <c r="A31" s="498">
        <f>A30+1</f>
        <v>13</v>
      </c>
      <c r="B31" s="357"/>
      <c r="C31" s="49" t="s">
        <v>265</v>
      </c>
      <c r="D31" s="50" t="s">
        <v>385</v>
      </c>
      <c r="E31" s="51">
        <f>0.25*K33</f>
        <v>236.33</v>
      </c>
      <c r="F31" s="377"/>
      <c r="G31" s="52">
        <f>E31*F31</f>
        <v>0</v>
      </c>
      <c r="H31" s="7"/>
      <c r="I31" s="48"/>
      <c r="J31" s="48"/>
      <c r="K31" s="48"/>
      <c r="L31" s="48"/>
      <c r="M31" s="75"/>
    </row>
    <row r="32" spans="1:13" ht="15" customHeight="1">
      <c r="A32" s="496">
        <v>11</v>
      </c>
      <c r="B32" s="48"/>
      <c r="C32" s="53" t="s">
        <v>24</v>
      </c>
      <c r="D32" s="48"/>
      <c r="E32" s="48"/>
      <c r="F32" s="52"/>
      <c r="G32" s="52"/>
      <c r="H32" s="7"/>
      <c r="I32" s="48"/>
      <c r="J32" s="48"/>
      <c r="K32" s="48"/>
      <c r="L32" s="48"/>
      <c r="M32" s="75"/>
    </row>
    <row r="33" spans="1:13" ht="16.5">
      <c r="A33" s="497">
        <f>A32+1</f>
        <v>12</v>
      </c>
      <c r="B33" s="357"/>
      <c r="C33" s="49" t="s">
        <v>264</v>
      </c>
      <c r="D33" s="50" t="s">
        <v>385</v>
      </c>
      <c r="E33" s="51">
        <f>0.7*L33</f>
        <v>688.548</v>
      </c>
      <c r="F33" s="377"/>
      <c r="G33" s="52">
        <f>E33*F33</f>
        <v>0</v>
      </c>
      <c r="H33" s="7"/>
      <c r="I33" s="34">
        <f>SUM(I9:I32)</f>
        <v>875.1</v>
      </c>
      <c r="J33" s="34">
        <f>SUM(J9:J32)</f>
        <v>9042.519999999999</v>
      </c>
      <c r="K33" s="34">
        <f>SUM(K9:K32)</f>
        <v>945.32</v>
      </c>
      <c r="L33" s="34">
        <f>SUM(L9:L32)</f>
        <v>983.64</v>
      </c>
      <c r="M33" s="48">
        <f>SUM(I33:L33)</f>
        <v>11846.579999999998</v>
      </c>
    </row>
    <row r="34" spans="1:13" ht="16.5">
      <c r="A34" s="497">
        <f>A33+1</f>
        <v>13</v>
      </c>
      <c r="B34" s="357"/>
      <c r="C34" s="53" t="s">
        <v>263</v>
      </c>
      <c r="D34" s="50" t="s">
        <v>385</v>
      </c>
      <c r="E34" s="51">
        <f>0.05*L33</f>
        <v>49.182</v>
      </c>
      <c r="F34" s="377"/>
      <c r="G34" s="52">
        <f>E34*F34</f>
        <v>0</v>
      </c>
      <c r="H34" s="7"/>
      <c r="I34" s="34"/>
      <c r="J34" s="34"/>
      <c r="K34" s="34"/>
      <c r="L34" s="34"/>
      <c r="M34" s="34"/>
    </row>
    <row r="35" spans="1:13" ht="15" customHeight="1">
      <c r="A35" s="498">
        <f>A34+1</f>
        <v>14</v>
      </c>
      <c r="B35" s="357"/>
      <c r="C35" s="49" t="s">
        <v>265</v>
      </c>
      <c r="D35" s="50" t="s">
        <v>385</v>
      </c>
      <c r="E35" s="51">
        <f>0.25*L33</f>
        <v>245.91</v>
      </c>
      <c r="F35" s="377"/>
      <c r="G35" s="52">
        <f>E35*F35</f>
        <v>0</v>
      </c>
      <c r="H35" s="7"/>
      <c r="I35" s="34"/>
      <c r="J35" s="34"/>
      <c r="K35" s="34"/>
      <c r="L35" s="34"/>
      <c r="M35" s="34"/>
    </row>
    <row r="36" spans="1:13" ht="28.5">
      <c r="A36" s="496">
        <v>12</v>
      </c>
      <c r="B36" s="48"/>
      <c r="C36" s="53" t="s">
        <v>244</v>
      </c>
      <c r="D36" s="96"/>
      <c r="E36" s="96"/>
      <c r="F36" s="52"/>
      <c r="G36" s="97"/>
      <c r="H36" s="7"/>
      <c r="J36" s="48" t="s">
        <v>315</v>
      </c>
      <c r="K36" s="34"/>
      <c r="L36" s="34"/>
      <c r="M36" s="34"/>
    </row>
    <row r="37" spans="1:13" ht="16.5">
      <c r="A37" s="497"/>
      <c r="B37" s="357"/>
      <c r="C37" s="49" t="s">
        <v>199</v>
      </c>
      <c r="D37" s="50" t="s">
        <v>385</v>
      </c>
      <c r="E37" s="51">
        <f>0.6*O13</f>
        <v>1131.84</v>
      </c>
      <c r="F37" s="377"/>
      <c r="G37" s="52">
        <f aca="true" t="shared" si="1" ref="G37:G67">E37*F37</f>
        <v>0</v>
      </c>
      <c r="H37" s="7"/>
      <c r="J37" s="48">
        <v>142.6</v>
      </c>
      <c r="K37" s="34"/>
      <c r="L37" s="34"/>
      <c r="M37" s="34"/>
    </row>
    <row r="38" spans="1:13" ht="16.5">
      <c r="A38" s="497"/>
      <c r="B38" s="357"/>
      <c r="C38" s="53" t="s">
        <v>266</v>
      </c>
      <c r="D38" s="50" t="s">
        <v>385</v>
      </c>
      <c r="E38" s="51">
        <f>0.05*O13</f>
        <v>94.32</v>
      </c>
      <c r="F38" s="377"/>
      <c r="G38" s="52">
        <f t="shared" si="1"/>
        <v>0</v>
      </c>
      <c r="H38" s="7"/>
      <c r="I38" s="34"/>
      <c r="J38" s="48"/>
      <c r="K38" s="34"/>
      <c r="L38" s="34"/>
      <c r="M38" s="34"/>
    </row>
    <row r="39" spans="1:13" ht="16.5">
      <c r="A39" s="498"/>
      <c r="B39" s="357"/>
      <c r="C39" s="49" t="s">
        <v>267</v>
      </c>
      <c r="D39" s="50" t="s">
        <v>385</v>
      </c>
      <c r="E39" s="51">
        <f>0.35*O13</f>
        <v>660.2399999999999</v>
      </c>
      <c r="F39" s="377"/>
      <c r="G39" s="52">
        <f t="shared" si="1"/>
        <v>0</v>
      </c>
      <c r="H39" s="7"/>
      <c r="I39" s="34"/>
      <c r="J39" s="34">
        <f>SUM(J37:J38)</f>
        <v>142.6</v>
      </c>
      <c r="K39" s="34"/>
      <c r="L39" s="34"/>
      <c r="M39" s="34"/>
    </row>
    <row r="40" spans="1:13" ht="28.5">
      <c r="A40" s="48">
        <v>13</v>
      </c>
      <c r="B40" s="48"/>
      <c r="C40" s="80" t="s">
        <v>196</v>
      </c>
      <c r="D40" s="50" t="s">
        <v>385</v>
      </c>
      <c r="E40" s="51">
        <f>E23+E27+E31+E39+E35</f>
        <v>3621.8849999999993</v>
      </c>
      <c r="F40" s="52"/>
      <c r="G40" s="52">
        <f t="shared" si="1"/>
        <v>0</v>
      </c>
      <c r="H40" s="7"/>
      <c r="I40" s="34"/>
      <c r="J40" s="34"/>
      <c r="K40" s="34"/>
      <c r="L40" s="34"/>
      <c r="M40" s="34"/>
    </row>
    <row r="41" spans="1:17" s="30" customFormat="1" ht="16.5">
      <c r="A41" s="48">
        <v>14</v>
      </c>
      <c r="B41" s="357"/>
      <c r="C41" s="55" t="s">
        <v>197</v>
      </c>
      <c r="D41" s="50" t="s">
        <v>385</v>
      </c>
      <c r="E41" s="81">
        <f>E40</f>
        <v>3621.8849999999993</v>
      </c>
      <c r="F41" s="377"/>
      <c r="G41" s="52">
        <f t="shared" si="1"/>
        <v>0</v>
      </c>
      <c r="H41" s="7"/>
      <c r="I41" s="34"/>
      <c r="J41" s="34"/>
      <c r="K41" s="34"/>
      <c r="L41" s="34"/>
      <c r="M41" s="34"/>
      <c r="N41" s="29"/>
      <c r="P41" s="29"/>
      <c r="Q41" s="29"/>
    </row>
    <row r="42" spans="1:13" ht="16.5">
      <c r="A42" s="48">
        <v>15</v>
      </c>
      <c r="B42" s="357"/>
      <c r="C42" s="80" t="s">
        <v>72</v>
      </c>
      <c r="D42" s="50" t="s">
        <v>385</v>
      </c>
      <c r="E42" s="51">
        <f>M33+O13</f>
        <v>13732.979999999998</v>
      </c>
      <c r="F42" s="377"/>
      <c r="G42" s="52">
        <f t="shared" si="1"/>
        <v>0</v>
      </c>
      <c r="H42" s="7"/>
      <c r="I42" s="34"/>
      <c r="J42" s="34"/>
      <c r="K42" s="34"/>
      <c r="L42" s="34"/>
      <c r="M42" s="34"/>
    </row>
    <row r="43" spans="1:15" ht="16.5">
      <c r="A43" s="48">
        <v>16</v>
      </c>
      <c r="B43" s="357"/>
      <c r="C43" s="49" t="s">
        <v>387</v>
      </c>
      <c r="D43" s="48" t="s">
        <v>386</v>
      </c>
      <c r="E43" s="48">
        <f>O11*4</f>
        <v>7192</v>
      </c>
      <c r="F43" s="377"/>
      <c r="G43" s="52">
        <f t="shared" si="1"/>
        <v>0</v>
      </c>
      <c r="H43" s="7"/>
      <c r="I43" s="34"/>
      <c r="J43" s="34"/>
      <c r="K43" s="34"/>
      <c r="L43" s="34"/>
      <c r="M43" s="34"/>
      <c r="O43" s="34"/>
    </row>
    <row r="44" spans="1:15" ht="15" customHeight="1">
      <c r="A44" s="48">
        <v>17</v>
      </c>
      <c r="B44" s="357"/>
      <c r="C44" s="80" t="s">
        <v>82</v>
      </c>
      <c r="D44" s="50" t="s">
        <v>385</v>
      </c>
      <c r="E44" s="51">
        <f>0.1*1.2*E46+0.1*1.4*E47+0.1*1.5*E48+0.1*1.6*E49+0.1*2*E50+0.1*2.2*E51</f>
        <v>343.94000000000005</v>
      </c>
      <c r="F44" s="377"/>
      <c r="G44" s="52">
        <f t="shared" si="1"/>
        <v>0</v>
      </c>
      <c r="H44" s="7"/>
      <c r="I44" s="34"/>
      <c r="J44" s="34"/>
      <c r="K44" s="34"/>
      <c r="L44" s="34"/>
      <c r="M44" s="34"/>
      <c r="O44" s="34"/>
    </row>
    <row r="45" spans="1:15" ht="42.75">
      <c r="A45" s="48">
        <v>18</v>
      </c>
      <c r="B45" s="357"/>
      <c r="C45" s="53" t="s">
        <v>43</v>
      </c>
      <c r="D45" s="50" t="s">
        <v>385</v>
      </c>
      <c r="E45" s="51">
        <f>E42-E44-E54-E55-E71-E73-E74-7.28-79.41-82.32-30.14-186.83-1070.49-14.33</f>
        <v>9707.55</v>
      </c>
      <c r="F45" s="377"/>
      <c r="G45" s="52">
        <f t="shared" si="1"/>
        <v>0</v>
      </c>
      <c r="H45" s="7"/>
      <c r="I45" s="34"/>
      <c r="J45" s="34"/>
      <c r="K45" s="34"/>
      <c r="L45" s="34"/>
      <c r="M45" s="34"/>
      <c r="O45" s="34"/>
    </row>
    <row r="46" spans="1:15" ht="14.25">
      <c r="A46" s="48">
        <v>19</v>
      </c>
      <c r="B46" s="357"/>
      <c r="C46" s="53" t="s">
        <v>271</v>
      </c>
      <c r="D46" s="48" t="s">
        <v>190</v>
      </c>
      <c r="E46" s="48">
        <v>58</v>
      </c>
      <c r="F46" s="377"/>
      <c r="G46" s="52">
        <f t="shared" si="1"/>
        <v>0</v>
      </c>
      <c r="H46" s="7"/>
      <c r="I46" s="34"/>
      <c r="J46" s="34"/>
      <c r="K46" s="34"/>
      <c r="L46" s="34"/>
      <c r="M46" s="34"/>
      <c r="O46" s="34"/>
    </row>
    <row r="47" spans="1:15" ht="14.25">
      <c r="A47" s="48">
        <v>20</v>
      </c>
      <c r="B47" s="357"/>
      <c r="C47" s="53" t="s">
        <v>273</v>
      </c>
      <c r="D47" s="48" t="s">
        <v>190</v>
      </c>
      <c r="E47" s="48">
        <v>281</v>
      </c>
      <c r="F47" s="377"/>
      <c r="G47" s="52">
        <f t="shared" si="1"/>
        <v>0</v>
      </c>
      <c r="H47" s="7"/>
      <c r="I47" s="34"/>
      <c r="J47" s="34"/>
      <c r="K47" s="34"/>
      <c r="L47" s="34"/>
      <c r="M47" s="34"/>
      <c r="O47" s="34"/>
    </row>
    <row r="48" spans="1:13" ht="15" customHeight="1">
      <c r="A48" s="48">
        <v>21</v>
      </c>
      <c r="B48" s="357"/>
      <c r="C48" s="53" t="s">
        <v>25</v>
      </c>
      <c r="D48" s="48" t="s">
        <v>190</v>
      </c>
      <c r="E48" s="48">
        <v>214</v>
      </c>
      <c r="F48" s="377"/>
      <c r="G48" s="52">
        <f>E48*F48</f>
        <v>0</v>
      </c>
      <c r="I48" s="34"/>
      <c r="J48" s="34"/>
      <c r="K48" s="34"/>
      <c r="L48" s="34"/>
      <c r="M48" s="34"/>
    </row>
    <row r="49" spans="1:13" ht="14.25">
      <c r="A49" s="48">
        <v>22</v>
      </c>
      <c r="B49" s="357"/>
      <c r="C49" s="53" t="s">
        <v>307</v>
      </c>
      <c r="D49" s="48" t="s">
        <v>190</v>
      </c>
      <c r="E49" s="48">
        <v>60</v>
      </c>
      <c r="F49" s="377"/>
      <c r="G49" s="52">
        <f t="shared" si="1"/>
        <v>0</v>
      </c>
      <c r="H49" s="7"/>
      <c r="I49" s="34"/>
      <c r="J49" s="34"/>
      <c r="K49" s="34"/>
      <c r="M49" s="51"/>
    </row>
    <row r="50" spans="1:15" ht="15" customHeight="1">
      <c r="A50" s="48">
        <v>23</v>
      </c>
      <c r="B50" s="357"/>
      <c r="C50" s="53" t="s">
        <v>308</v>
      </c>
      <c r="D50" s="48" t="s">
        <v>190</v>
      </c>
      <c r="E50" s="48">
        <v>238</v>
      </c>
      <c r="F50" s="377"/>
      <c r="G50" s="52">
        <f t="shared" si="1"/>
        <v>0</v>
      </c>
      <c r="L50" s="30"/>
      <c r="O50" s="34"/>
    </row>
    <row r="51" spans="1:8" ht="28.5">
      <c r="A51" s="48">
        <v>24</v>
      </c>
      <c r="B51" s="357"/>
      <c r="C51" s="53" t="s">
        <v>314</v>
      </c>
      <c r="D51" s="48" t="s">
        <v>190</v>
      </c>
      <c r="E51" s="48">
        <v>947</v>
      </c>
      <c r="F51" s="377"/>
      <c r="G51" s="52">
        <f t="shared" si="1"/>
        <v>0</v>
      </c>
      <c r="H51" s="7"/>
    </row>
    <row r="52" spans="1:15" ht="28.5">
      <c r="A52" s="48">
        <v>25</v>
      </c>
      <c r="B52" s="357"/>
      <c r="C52" s="53" t="s">
        <v>392</v>
      </c>
      <c r="D52" s="48" t="s">
        <v>190</v>
      </c>
      <c r="E52" s="48">
        <v>713</v>
      </c>
      <c r="F52" s="377"/>
      <c r="G52" s="52">
        <f t="shared" si="1"/>
        <v>0</v>
      </c>
      <c r="H52" s="7"/>
      <c r="O52" s="34"/>
    </row>
    <row r="53" spans="1:15" ht="16.5">
      <c r="A53" s="48">
        <v>26</v>
      </c>
      <c r="B53" s="357"/>
      <c r="C53" s="53" t="s">
        <v>316</v>
      </c>
      <c r="D53" s="48" t="s">
        <v>386</v>
      </c>
      <c r="E53" s="51">
        <f>1.3*E52</f>
        <v>926.9</v>
      </c>
      <c r="F53" s="377"/>
      <c r="G53" s="52">
        <f t="shared" si="1"/>
        <v>0</v>
      </c>
      <c r="H53" s="7"/>
      <c r="O53" s="34"/>
    </row>
    <row r="54" spans="1:15" ht="28.5">
      <c r="A54" s="48">
        <v>27</v>
      </c>
      <c r="B54" s="357"/>
      <c r="C54" s="80" t="s">
        <v>318</v>
      </c>
      <c r="D54" s="50" t="s">
        <v>385</v>
      </c>
      <c r="E54" s="51">
        <f>J37-E55-14.33</f>
        <v>92.61999999999999</v>
      </c>
      <c r="F54" s="377"/>
      <c r="G54" s="52">
        <f t="shared" si="1"/>
        <v>0</v>
      </c>
      <c r="H54" s="7"/>
      <c r="O54" s="34"/>
    </row>
    <row r="55" spans="1:15" ht="16.5">
      <c r="A55" s="48">
        <v>28</v>
      </c>
      <c r="B55" s="357"/>
      <c r="C55" s="80" t="s">
        <v>317</v>
      </c>
      <c r="D55" s="50" t="s">
        <v>385</v>
      </c>
      <c r="E55" s="51">
        <f>0.1*0.5*E52</f>
        <v>35.65</v>
      </c>
      <c r="F55" s="377"/>
      <c r="G55" s="52">
        <f t="shared" si="1"/>
        <v>0</v>
      </c>
      <c r="H55" s="7"/>
      <c r="O55" s="34"/>
    </row>
    <row r="56" spans="1:16" ht="28.5">
      <c r="A56" s="48">
        <v>29</v>
      </c>
      <c r="B56" s="357"/>
      <c r="C56" s="53" t="s">
        <v>313</v>
      </c>
      <c r="D56" s="48" t="s">
        <v>191</v>
      </c>
      <c r="E56" s="48">
        <v>5</v>
      </c>
      <c r="F56" s="377"/>
      <c r="G56" s="52">
        <f t="shared" si="1"/>
        <v>0</v>
      </c>
      <c r="H56" s="7"/>
      <c r="N56" s="30"/>
      <c r="O56" s="30"/>
      <c r="P56" s="34"/>
    </row>
    <row r="57" spans="1:8" ht="28.5">
      <c r="A57" s="48">
        <v>30</v>
      </c>
      <c r="B57" s="357"/>
      <c r="C57" s="53" t="s">
        <v>310</v>
      </c>
      <c r="D57" s="48" t="s">
        <v>191</v>
      </c>
      <c r="E57" s="48">
        <v>7</v>
      </c>
      <c r="F57" s="377"/>
      <c r="G57" s="52">
        <f t="shared" si="1"/>
        <v>0</v>
      </c>
      <c r="H57" s="34"/>
    </row>
    <row r="58" spans="1:17" ht="28.5">
      <c r="A58" s="48">
        <v>31</v>
      </c>
      <c r="B58" s="357"/>
      <c r="C58" s="53" t="s">
        <v>311</v>
      </c>
      <c r="D58" s="48" t="s">
        <v>191</v>
      </c>
      <c r="E58" s="48">
        <v>2</v>
      </c>
      <c r="F58" s="377"/>
      <c r="G58" s="52">
        <f t="shared" si="1"/>
        <v>0</v>
      </c>
      <c r="H58" s="7"/>
      <c r="P58" s="30"/>
      <c r="Q58" s="30"/>
    </row>
    <row r="59" spans="1:17" ht="28.5">
      <c r="A59" s="48">
        <v>32</v>
      </c>
      <c r="B59" s="357"/>
      <c r="C59" s="53" t="s">
        <v>27</v>
      </c>
      <c r="D59" s="48" t="s">
        <v>191</v>
      </c>
      <c r="E59" s="48">
        <v>4</v>
      </c>
      <c r="F59" s="377"/>
      <c r="G59" s="52">
        <f>E59*F59</f>
        <v>0</v>
      </c>
      <c r="H59" s="7"/>
      <c r="P59" s="30"/>
      <c r="Q59" s="30"/>
    </row>
    <row r="60" spans="1:8" ht="28.5">
      <c r="A60" s="48">
        <v>33</v>
      </c>
      <c r="B60" s="357"/>
      <c r="C60" s="53" t="s">
        <v>312</v>
      </c>
      <c r="D60" s="48" t="s">
        <v>191</v>
      </c>
      <c r="E60" s="48">
        <v>12</v>
      </c>
      <c r="F60" s="377"/>
      <c r="G60" s="52">
        <f t="shared" si="1"/>
        <v>0</v>
      </c>
      <c r="H60" s="7"/>
    </row>
    <row r="61" spans="1:15" ht="28.5">
      <c r="A61" s="48">
        <v>34</v>
      </c>
      <c r="B61" s="357"/>
      <c r="C61" s="53" t="s">
        <v>26</v>
      </c>
      <c r="D61" s="48" t="s">
        <v>191</v>
      </c>
      <c r="E61" s="48">
        <v>5</v>
      </c>
      <c r="F61" s="377"/>
      <c r="G61" s="52">
        <f>E61*F61</f>
        <v>0</v>
      </c>
      <c r="H61" s="7"/>
      <c r="I61" s="34"/>
      <c r="J61" s="34"/>
      <c r="O61" s="3"/>
    </row>
    <row r="62" spans="1:15" ht="14.25">
      <c r="A62" s="48">
        <v>35</v>
      </c>
      <c r="B62" s="357"/>
      <c r="C62" s="53" t="s">
        <v>200</v>
      </c>
      <c r="D62" s="48" t="s">
        <v>191</v>
      </c>
      <c r="E62" s="48">
        <f>O8</f>
        <v>131</v>
      </c>
      <c r="F62" s="377"/>
      <c r="G62" s="52">
        <f t="shared" si="1"/>
        <v>0</v>
      </c>
      <c r="H62" s="7"/>
      <c r="I62" s="34"/>
      <c r="J62" s="34"/>
      <c r="L62" s="30"/>
      <c r="O62" s="3"/>
    </row>
    <row r="63" spans="1:17" s="2" customFormat="1" ht="30" customHeight="1">
      <c r="A63" s="48">
        <v>36</v>
      </c>
      <c r="B63" s="357"/>
      <c r="C63" s="53" t="s">
        <v>233</v>
      </c>
      <c r="D63" s="48" t="s">
        <v>191</v>
      </c>
      <c r="E63" s="51">
        <v>50</v>
      </c>
      <c r="F63" s="377"/>
      <c r="G63" s="52">
        <f t="shared" si="1"/>
        <v>0</v>
      </c>
      <c r="H63" s="7"/>
      <c r="I63" s="30"/>
      <c r="J63" s="30"/>
      <c r="K63" s="30"/>
      <c r="L63" s="30"/>
      <c r="M63" s="30"/>
      <c r="N63" s="29"/>
      <c r="O63" s="3"/>
      <c r="P63" s="29"/>
      <c r="Q63" s="29"/>
    </row>
    <row r="64" spans="1:17" s="30" customFormat="1" ht="28.5">
      <c r="A64" s="48">
        <v>37</v>
      </c>
      <c r="B64" s="357"/>
      <c r="C64" s="53" t="s">
        <v>28</v>
      </c>
      <c r="D64" s="48" t="s">
        <v>190</v>
      </c>
      <c r="E64" s="51">
        <v>10</v>
      </c>
      <c r="F64" s="377"/>
      <c r="G64" s="52">
        <f t="shared" si="1"/>
        <v>0</v>
      </c>
      <c r="H64" s="7"/>
      <c r="N64" s="29"/>
      <c r="P64" s="29"/>
      <c r="Q64" s="29"/>
    </row>
    <row r="65" spans="1:17" s="30" customFormat="1" ht="14.25">
      <c r="A65" s="48">
        <v>38</v>
      </c>
      <c r="B65" s="357"/>
      <c r="C65" s="49" t="s">
        <v>192</v>
      </c>
      <c r="D65" s="48" t="s">
        <v>193</v>
      </c>
      <c r="E65" s="51">
        <f>40*O11/2000</f>
        <v>35.96</v>
      </c>
      <c r="F65" s="377"/>
      <c r="G65" s="52">
        <f t="shared" si="1"/>
        <v>0</v>
      </c>
      <c r="H65" s="7"/>
      <c r="N65" s="29"/>
      <c r="O65" s="29"/>
      <c r="P65" s="3"/>
      <c r="Q65" s="6"/>
    </row>
    <row r="66" spans="1:17" ht="14.25">
      <c r="A66" s="48">
        <v>39</v>
      </c>
      <c r="B66" s="357"/>
      <c r="C66" s="95" t="s">
        <v>282</v>
      </c>
      <c r="D66" s="48" t="s">
        <v>190</v>
      </c>
      <c r="E66" s="51">
        <f>E17</f>
        <v>131</v>
      </c>
      <c r="F66" s="377"/>
      <c r="G66" s="52">
        <f t="shared" si="1"/>
        <v>0</v>
      </c>
      <c r="H66" s="7"/>
      <c r="I66" s="30"/>
      <c r="J66" s="30"/>
      <c r="K66" s="30"/>
      <c r="M66" s="30"/>
      <c r="P66" s="3"/>
      <c r="Q66" s="6"/>
    </row>
    <row r="67" spans="1:17" s="2" customFormat="1" ht="16.5">
      <c r="A67" s="48">
        <v>40</v>
      </c>
      <c r="B67" s="357"/>
      <c r="C67" s="95" t="s">
        <v>283</v>
      </c>
      <c r="D67" s="48" t="s">
        <v>386</v>
      </c>
      <c r="E67" s="51">
        <f>E18</f>
        <v>262</v>
      </c>
      <c r="F67" s="377"/>
      <c r="G67" s="52">
        <f t="shared" si="1"/>
        <v>0</v>
      </c>
      <c r="H67" s="7"/>
      <c r="I67" s="29"/>
      <c r="J67" s="29"/>
      <c r="K67" s="29"/>
      <c r="L67" s="29"/>
      <c r="M67" s="29"/>
      <c r="N67" s="29"/>
      <c r="O67" s="3"/>
      <c r="P67" s="30"/>
      <c r="Q67" s="30"/>
    </row>
    <row r="68" spans="1:17" s="2" customFormat="1" ht="28.5">
      <c r="A68" s="48">
        <v>41</v>
      </c>
      <c r="B68" s="357"/>
      <c r="C68" s="77" t="s">
        <v>293</v>
      </c>
      <c r="D68" s="48" t="s">
        <v>195</v>
      </c>
      <c r="E68" s="82">
        <f>(E15+E16)*96/1000</f>
        <v>476.7936</v>
      </c>
      <c r="F68" s="377"/>
      <c r="G68" s="52">
        <f aca="true" t="shared" si="2" ref="G68:G82">E68*F68</f>
        <v>0</v>
      </c>
      <c r="H68" s="7"/>
      <c r="I68" s="29"/>
      <c r="J68" s="29"/>
      <c r="K68" s="29"/>
      <c r="L68" s="29"/>
      <c r="M68" s="29"/>
      <c r="N68" s="29"/>
      <c r="O68" s="30"/>
      <c r="P68" s="29"/>
      <c r="Q68" s="29"/>
    </row>
    <row r="69" spans="1:17" ht="28.5">
      <c r="A69" s="48">
        <v>42</v>
      </c>
      <c r="B69" s="357"/>
      <c r="C69" s="77" t="s">
        <v>294</v>
      </c>
      <c r="D69" s="48" t="s">
        <v>195</v>
      </c>
      <c r="E69" s="51">
        <v>196.16</v>
      </c>
      <c r="F69" s="377"/>
      <c r="G69" s="52">
        <f t="shared" si="2"/>
        <v>0</v>
      </c>
      <c r="H69" s="7"/>
      <c r="O69" s="3"/>
      <c r="P69" s="30"/>
      <c r="Q69" s="30"/>
    </row>
    <row r="70" spans="1:17" s="2" customFormat="1" ht="28.5">
      <c r="A70" s="48">
        <v>43</v>
      </c>
      <c r="B70" s="357"/>
      <c r="C70" s="53" t="s">
        <v>30</v>
      </c>
      <c r="D70" s="83" t="s">
        <v>195</v>
      </c>
      <c r="E70" s="51">
        <v>349.32</v>
      </c>
      <c r="F70" s="377"/>
      <c r="G70" s="52">
        <f>E70*F70</f>
        <v>0</v>
      </c>
      <c r="H70" s="7"/>
      <c r="I70" s="29"/>
      <c r="J70" s="29"/>
      <c r="K70" s="29"/>
      <c r="L70" s="29"/>
      <c r="M70" s="29"/>
      <c r="N70" s="29"/>
      <c r="O70" s="3"/>
      <c r="P70" s="29"/>
      <c r="Q70" s="29"/>
    </row>
    <row r="71" spans="1:17" s="2" customFormat="1" ht="28.5">
      <c r="A71" s="48">
        <v>44</v>
      </c>
      <c r="B71" s="357"/>
      <c r="C71" s="53" t="s">
        <v>31</v>
      </c>
      <c r="D71" s="83" t="s">
        <v>385</v>
      </c>
      <c r="E71" s="85">
        <v>463.73</v>
      </c>
      <c r="F71" s="377"/>
      <c r="G71" s="52">
        <f>E71*F71</f>
        <v>0</v>
      </c>
      <c r="H71" s="7"/>
      <c r="I71" s="29"/>
      <c r="J71" s="29"/>
      <c r="K71" s="29"/>
      <c r="L71" s="29"/>
      <c r="M71" s="29"/>
      <c r="N71" s="29"/>
      <c r="O71" s="29"/>
      <c r="P71" s="29"/>
      <c r="Q71" s="29"/>
    </row>
    <row r="72" spans="1:9" ht="28.5">
      <c r="A72" s="48">
        <v>45</v>
      </c>
      <c r="B72" s="357"/>
      <c r="C72" s="53" t="s">
        <v>295</v>
      </c>
      <c r="D72" s="83" t="s">
        <v>195</v>
      </c>
      <c r="E72" s="51">
        <v>543.67</v>
      </c>
      <c r="F72" s="377"/>
      <c r="G72" s="52">
        <f t="shared" si="2"/>
        <v>0</v>
      </c>
      <c r="H72" s="7"/>
      <c r="I72" s="34"/>
    </row>
    <row r="73" spans="1:17" s="2" customFormat="1" ht="28.5">
      <c r="A73" s="48">
        <v>46</v>
      </c>
      <c r="B73" s="357"/>
      <c r="C73" s="53" t="s">
        <v>298</v>
      </c>
      <c r="D73" s="83" t="s">
        <v>385</v>
      </c>
      <c r="E73" s="85">
        <v>337.05</v>
      </c>
      <c r="F73" s="377"/>
      <c r="G73" s="52">
        <f t="shared" si="2"/>
        <v>0</v>
      </c>
      <c r="H73" s="7"/>
      <c r="I73" s="29"/>
      <c r="J73" s="29"/>
      <c r="K73" s="29"/>
      <c r="L73" s="29"/>
      <c r="M73" s="29"/>
      <c r="N73" s="29"/>
      <c r="O73" s="29"/>
      <c r="P73" s="29"/>
      <c r="Q73" s="29"/>
    </row>
    <row r="74" spans="1:8" ht="28.5">
      <c r="A74" s="48">
        <v>47</v>
      </c>
      <c r="B74" s="357"/>
      <c r="C74" s="53" t="s">
        <v>21</v>
      </c>
      <c r="D74" s="83" t="s">
        <v>385</v>
      </c>
      <c r="E74" s="85">
        <v>1281.64</v>
      </c>
      <c r="F74" s="377"/>
      <c r="G74" s="52">
        <f t="shared" si="2"/>
        <v>0</v>
      </c>
      <c r="H74" s="7"/>
    </row>
    <row r="75" spans="1:8" ht="14.25">
      <c r="A75" s="48">
        <v>48</v>
      </c>
      <c r="B75" s="357"/>
      <c r="C75" s="77" t="s">
        <v>194</v>
      </c>
      <c r="D75" s="74" t="s">
        <v>190</v>
      </c>
      <c r="E75" s="85">
        <f>E13+E14</f>
        <v>4513</v>
      </c>
      <c r="F75" s="377"/>
      <c r="G75" s="52">
        <f t="shared" si="2"/>
        <v>0</v>
      </c>
      <c r="H75" s="7"/>
    </row>
    <row r="76" spans="1:8" ht="28.5">
      <c r="A76" s="496">
        <v>49</v>
      </c>
      <c r="B76" s="43"/>
      <c r="C76" s="88" t="s">
        <v>32</v>
      </c>
      <c r="D76" s="86"/>
      <c r="E76" s="89"/>
      <c r="F76" s="45"/>
      <c r="G76" s="45"/>
      <c r="H76" s="7"/>
    </row>
    <row r="77" spans="1:8" ht="28.5">
      <c r="A77" s="497"/>
      <c r="B77" s="357"/>
      <c r="C77" s="80" t="s">
        <v>134</v>
      </c>
      <c r="D77" s="74" t="s">
        <v>386</v>
      </c>
      <c r="E77" s="85">
        <v>86</v>
      </c>
      <c r="F77" s="377"/>
      <c r="G77" s="90">
        <f>E77*F77</f>
        <v>0</v>
      </c>
      <c r="H77" s="7"/>
    </row>
    <row r="78" spans="1:8" ht="16.5">
      <c r="A78" s="497"/>
      <c r="B78" s="357"/>
      <c r="C78" s="53" t="s">
        <v>362</v>
      </c>
      <c r="D78" s="48" t="s">
        <v>385</v>
      </c>
      <c r="E78" s="51">
        <v>2</v>
      </c>
      <c r="F78" s="377"/>
      <c r="G78" s="52">
        <f>E78*F78</f>
        <v>0</v>
      </c>
      <c r="H78" s="7"/>
    </row>
    <row r="79" spans="1:17" s="30" customFormat="1" ht="16.5">
      <c r="A79" s="497"/>
      <c r="B79" s="357"/>
      <c r="C79" s="53" t="s">
        <v>249</v>
      </c>
      <c r="D79" s="48" t="s">
        <v>385</v>
      </c>
      <c r="E79" s="51">
        <v>21</v>
      </c>
      <c r="F79" s="377"/>
      <c r="G79" s="52">
        <f>E79*F79</f>
        <v>0</v>
      </c>
      <c r="H79" s="8"/>
      <c r="N79" s="29"/>
      <c r="O79" s="29"/>
      <c r="P79" s="29"/>
      <c r="Q79" s="29"/>
    </row>
    <row r="80" spans="1:17" ht="14.25">
      <c r="A80" s="497"/>
      <c r="B80" s="357"/>
      <c r="C80" s="53" t="s">
        <v>135</v>
      </c>
      <c r="D80" s="48" t="s">
        <v>191</v>
      </c>
      <c r="E80" s="51">
        <v>1</v>
      </c>
      <c r="F80" s="377"/>
      <c r="G80" s="52">
        <f>E80*F80</f>
        <v>0</v>
      </c>
      <c r="H80" s="7"/>
      <c r="N80" s="30"/>
      <c r="O80" s="30"/>
      <c r="P80" s="30"/>
      <c r="Q80" s="30"/>
    </row>
    <row r="81" spans="1:8" ht="14.25">
      <c r="A81" s="498"/>
      <c r="B81" s="357"/>
      <c r="C81" s="53" t="s">
        <v>250</v>
      </c>
      <c r="D81" s="48" t="s">
        <v>251</v>
      </c>
      <c r="E81" s="48">
        <v>1533</v>
      </c>
      <c r="F81" s="377"/>
      <c r="G81" s="52">
        <f>E81*F81</f>
        <v>0</v>
      </c>
      <c r="H81" s="7"/>
    </row>
    <row r="82" spans="1:8" ht="14.25">
      <c r="A82" s="48">
        <v>50</v>
      </c>
      <c r="B82" s="357"/>
      <c r="C82" s="55" t="s">
        <v>201</v>
      </c>
      <c r="D82" s="50" t="s">
        <v>190</v>
      </c>
      <c r="E82" s="50">
        <f>O11</f>
        <v>1798</v>
      </c>
      <c r="F82" s="377"/>
      <c r="G82" s="52">
        <f t="shared" si="2"/>
        <v>0</v>
      </c>
      <c r="H82" s="7"/>
    </row>
    <row r="83" spans="5:7" ht="15" customHeight="1">
      <c r="E83" s="57"/>
      <c r="F83" s="58" t="s">
        <v>364</v>
      </c>
      <c r="G83" s="59">
        <f>SUM(G13:G82)</f>
        <v>0</v>
      </c>
    </row>
    <row r="84" spans="5:7" ht="15">
      <c r="E84" s="484" t="s">
        <v>206</v>
      </c>
      <c r="F84" s="484"/>
      <c r="G84" s="59">
        <f>G83*0.2</f>
        <v>0</v>
      </c>
    </row>
    <row r="85" spans="3:7" ht="15">
      <c r="C85" s="26"/>
      <c r="E85" s="57"/>
      <c r="F85" s="60" t="s">
        <v>365</v>
      </c>
      <c r="G85" s="59">
        <f>SUM(G83:G84)</f>
        <v>0</v>
      </c>
    </row>
    <row r="86" spans="3:5" ht="14.25">
      <c r="C86" s="61"/>
      <c r="D86" s="62"/>
      <c r="E86" s="62"/>
    </row>
    <row r="87" spans="2:16" ht="18.75">
      <c r="B87" s="63" t="s">
        <v>370</v>
      </c>
      <c r="C87" s="64" t="s">
        <v>371</v>
      </c>
      <c r="D87" s="62"/>
      <c r="E87" s="62"/>
      <c r="H87" s="28"/>
      <c r="I87" s="28"/>
      <c r="J87" s="28"/>
      <c r="K87" s="28"/>
      <c r="L87" s="28"/>
      <c r="M87" s="28"/>
      <c r="N87" s="28"/>
      <c r="O87" s="28"/>
      <c r="P87" s="28"/>
    </row>
    <row r="88" spans="8:16" ht="14.25">
      <c r="H88" s="28"/>
      <c r="I88" s="28"/>
      <c r="J88" s="28"/>
      <c r="K88" s="28"/>
      <c r="L88" s="28"/>
      <c r="M88" s="28"/>
      <c r="N88" s="28"/>
      <c r="O88" s="28"/>
      <c r="P88" s="28"/>
    </row>
    <row r="89" spans="8:16" ht="15" customHeight="1">
      <c r="H89" s="28"/>
      <c r="I89" s="28"/>
      <c r="J89" s="28"/>
      <c r="K89" s="28"/>
      <c r="L89" s="28"/>
      <c r="M89" s="28"/>
      <c r="N89" s="28"/>
      <c r="O89" s="28"/>
      <c r="P89" s="28"/>
    </row>
    <row r="90" spans="8:16" ht="14.25">
      <c r="H90" s="28"/>
      <c r="I90" s="28"/>
      <c r="J90" s="28"/>
      <c r="K90" s="28"/>
      <c r="L90" s="28"/>
      <c r="M90" s="28"/>
      <c r="N90" s="28"/>
      <c r="O90" s="28"/>
      <c r="P90" s="28"/>
    </row>
    <row r="91" spans="1:6" s="67" customFormat="1" ht="15">
      <c r="A91" s="65" t="s">
        <v>373</v>
      </c>
      <c r="B91" s="2"/>
      <c r="C91" s="65"/>
      <c r="D91" s="66" t="s">
        <v>374</v>
      </c>
      <c r="E91" s="24"/>
      <c r="F91" s="426"/>
    </row>
    <row r="92" spans="1:6" s="67" customFormat="1" ht="12.75">
      <c r="A92" s="11"/>
      <c r="B92" s="2"/>
      <c r="C92" s="11"/>
      <c r="D92" s="2"/>
      <c r="E92" s="24"/>
      <c r="F92" s="426"/>
    </row>
    <row r="93" spans="1:6" s="67" customFormat="1" ht="14.25">
      <c r="A93" s="11"/>
      <c r="B93" s="2"/>
      <c r="C93" s="68"/>
      <c r="D93" s="69" t="s">
        <v>375</v>
      </c>
      <c r="E93" s="24"/>
      <c r="F93" s="426"/>
    </row>
    <row r="94" spans="1:6" s="67" customFormat="1" ht="12.75">
      <c r="A94" s="11"/>
      <c r="B94" s="2"/>
      <c r="C94" s="11"/>
      <c r="D94" s="2"/>
      <c r="E94" s="70" t="s">
        <v>376</v>
      </c>
      <c r="F94" s="426"/>
    </row>
    <row r="95" spans="1:6" s="67" customFormat="1" ht="14.25">
      <c r="A95" s="11"/>
      <c r="B95" s="2"/>
      <c r="C95" s="68"/>
      <c r="D95" s="69" t="s">
        <v>377</v>
      </c>
      <c r="E95" s="24"/>
      <c r="F95" s="426"/>
    </row>
    <row r="96" spans="1:6" s="67" customFormat="1" ht="12.75">
      <c r="A96" s="11"/>
      <c r="B96" s="2"/>
      <c r="C96" s="11"/>
      <c r="D96" s="71" t="s">
        <v>378</v>
      </c>
      <c r="E96" s="24"/>
      <c r="F96" s="426"/>
    </row>
  </sheetData>
  <sheetProtection sheet="1" formatCells="0" formatColumns="0" formatRows="0" insertColumns="0" insertRows="0" insertHyperlinks="0" deleteColumns="0" deleteRows="0"/>
  <protectedRanges>
    <protectedRange password="CF7A" sqref="A87:E96" name="Range1"/>
    <protectedRange password="CF7A" sqref="A9:A12 C9:E12 B9:B10 B12" name="Range1_2"/>
    <protectedRange password="CF7A" sqref="F84 E83:E85" name="Range1_1"/>
    <protectedRange password="CF7A" sqref="A6:E7" name="Range1_3"/>
  </protectedRanges>
  <mergeCells count="23">
    <mergeCell ref="D10:D11"/>
    <mergeCell ref="E10:E11"/>
    <mergeCell ref="F10:F11"/>
    <mergeCell ref="C1:G1"/>
    <mergeCell ref="C3:G3"/>
    <mergeCell ref="A4:B4"/>
    <mergeCell ref="C4:G4"/>
    <mergeCell ref="A20:A23"/>
    <mergeCell ref="A6:E7"/>
    <mergeCell ref="A9:E9"/>
    <mergeCell ref="A8:G8"/>
    <mergeCell ref="C5:G5"/>
    <mergeCell ref="G10:G11"/>
    <mergeCell ref="F6:F7"/>
    <mergeCell ref="A10:A11"/>
    <mergeCell ref="B10:B11"/>
    <mergeCell ref="C10:C11"/>
    <mergeCell ref="E84:F84"/>
    <mergeCell ref="A36:A39"/>
    <mergeCell ref="A24:A27"/>
    <mergeCell ref="A28:A31"/>
    <mergeCell ref="A32:A35"/>
    <mergeCell ref="A76:A81"/>
  </mergeCells>
  <printOptions horizontalCentered="1"/>
  <pageMargins left="0.5905511811023623" right="0.15748031496062992" top="0.4330708661417323" bottom="0.5118110236220472" header="0.3937007874015748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95" zoomScaleNormal="95" zoomScalePageLayoutView="0" workbookViewId="0" topLeftCell="A1">
      <selection activeCell="C5" sqref="C5:G5"/>
    </sheetView>
  </sheetViews>
  <sheetFormatPr defaultColWidth="9.140625" defaultRowHeight="12.75"/>
  <cols>
    <col min="1" max="1" width="7.28125" style="29" customWidth="1"/>
    <col min="2" max="2" width="19.8515625" style="320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7.8515625" style="29" customWidth="1"/>
    <col min="9" max="9" width="8.00390625" style="29" bestFit="1" customWidth="1"/>
    <col min="10" max="10" width="8.57421875" style="29" customWidth="1"/>
    <col min="11" max="11" width="7.8515625" style="29" customWidth="1"/>
    <col min="12" max="12" width="8.7109375" style="29" customWidth="1"/>
    <col min="13" max="13" width="8.8515625" style="29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18.75" customHeight="1">
      <c r="A5" s="441"/>
      <c r="B5" s="442" t="s">
        <v>562</v>
      </c>
      <c r="C5" s="492" t="s">
        <v>572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9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4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2" t="s">
        <v>23</v>
      </c>
      <c r="M8" s="17"/>
      <c r="N8" s="38"/>
    </row>
    <row r="9" spans="1:14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301.06</v>
      </c>
      <c r="J9" s="73">
        <v>156.16</v>
      </c>
      <c r="K9" s="73"/>
      <c r="L9" s="73">
        <v>529.15</v>
      </c>
      <c r="M9" s="75"/>
      <c r="N9" s="34"/>
    </row>
    <row r="10" spans="1:14" ht="15.75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77.7</v>
      </c>
      <c r="J10" s="48">
        <v>29.6</v>
      </c>
      <c r="K10" s="48"/>
      <c r="L10" s="48">
        <v>72.15</v>
      </c>
      <c r="M10" s="75"/>
      <c r="N10" s="34"/>
    </row>
    <row r="11" spans="1:16" ht="15" thickBot="1">
      <c r="A11" s="494"/>
      <c r="B11" s="503"/>
      <c r="C11" s="490"/>
      <c r="D11" s="489"/>
      <c r="E11" s="489"/>
      <c r="F11" s="490"/>
      <c r="G11" s="490"/>
      <c r="H11" s="14"/>
      <c r="I11" s="48">
        <v>84.64</v>
      </c>
      <c r="J11" s="48">
        <v>55.6</v>
      </c>
      <c r="K11" s="48"/>
      <c r="L11" s="48"/>
      <c r="M11" s="75"/>
      <c r="N11" s="15"/>
      <c r="O11" s="15"/>
      <c r="P11" s="15"/>
    </row>
    <row r="12" spans="1:13" ht="14.25">
      <c r="A12" s="101">
        <v>1</v>
      </c>
      <c r="B12" s="431">
        <v>2</v>
      </c>
      <c r="C12" s="101">
        <v>3</v>
      </c>
      <c r="D12" s="101">
        <v>4</v>
      </c>
      <c r="E12" s="101">
        <v>5</v>
      </c>
      <c r="F12" s="101">
        <v>6</v>
      </c>
      <c r="G12" s="101">
        <v>7</v>
      </c>
      <c r="H12" s="42"/>
      <c r="I12" s="34">
        <f>SUM(I9:I11)</f>
        <v>463.4</v>
      </c>
      <c r="J12" s="34">
        <f>SUM(J9:J11)</f>
        <v>241.35999999999999</v>
      </c>
      <c r="K12" s="34">
        <f>SUM(K9:K11)</f>
        <v>0</v>
      </c>
      <c r="L12" s="34">
        <f>SUM(L9:L11)</f>
        <v>601.3</v>
      </c>
      <c r="M12" s="48">
        <f>SUM(I12:L12)</f>
        <v>1306.06</v>
      </c>
    </row>
    <row r="13" spans="1:15" ht="28.5">
      <c r="A13" s="48">
        <v>1</v>
      </c>
      <c r="B13" s="393"/>
      <c r="C13" s="53" t="s">
        <v>34</v>
      </c>
      <c r="D13" s="48" t="s">
        <v>386</v>
      </c>
      <c r="E13" s="51">
        <v>115.5</v>
      </c>
      <c r="F13" s="377"/>
      <c r="G13" s="52">
        <f>E13*F13</f>
        <v>0</v>
      </c>
      <c r="H13" s="7"/>
      <c r="I13" s="34"/>
      <c r="J13" s="34"/>
      <c r="K13" s="34"/>
      <c r="L13" s="34"/>
      <c r="M13" s="34"/>
      <c r="N13" s="34"/>
      <c r="O13" s="34"/>
    </row>
    <row r="14" spans="1:13" ht="28.5">
      <c r="A14" s="48">
        <v>2</v>
      </c>
      <c r="B14" s="393"/>
      <c r="C14" s="77" t="s">
        <v>268</v>
      </c>
      <c r="D14" s="50" t="s">
        <v>385</v>
      </c>
      <c r="E14" s="51">
        <f>E13*0.1</f>
        <v>11.55</v>
      </c>
      <c r="F14" s="377"/>
      <c r="G14" s="52">
        <f>E14*F14</f>
        <v>0</v>
      </c>
      <c r="H14" s="7"/>
      <c r="I14" s="34"/>
      <c r="J14" s="34"/>
      <c r="K14" s="34"/>
      <c r="L14" s="34"/>
      <c r="M14" s="34"/>
    </row>
    <row r="15" spans="1:13" ht="28.5">
      <c r="A15" s="485">
        <v>3</v>
      </c>
      <c r="B15" s="409"/>
      <c r="C15" s="53" t="s">
        <v>136</v>
      </c>
      <c r="D15" s="48"/>
      <c r="E15" s="48"/>
      <c r="F15" s="52"/>
      <c r="G15" s="52"/>
      <c r="H15" s="7"/>
      <c r="J15" s="48" t="s">
        <v>315</v>
      </c>
      <c r="K15" s="34"/>
      <c r="L15" s="34"/>
      <c r="M15" s="34"/>
    </row>
    <row r="16" spans="1:13" ht="15" customHeight="1">
      <c r="A16" s="485">
        <f>A15+1</f>
        <v>4</v>
      </c>
      <c r="B16" s="393"/>
      <c r="C16" s="49" t="s">
        <v>140</v>
      </c>
      <c r="D16" s="50" t="s">
        <v>385</v>
      </c>
      <c r="E16" s="51">
        <f>0.9*I12</f>
        <v>417.06</v>
      </c>
      <c r="F16" s="377"/>
      <c r="G16" s="52">
        <f>E16*F16</f>
        <v>0</v>
      </c>
      <c r="H16" s="7"/>
      <c r="J16" s="48">
        <v>55.6</v>
      </c>
      <c r="K16" s="34"/>
      <c r="L16" s="34"/>
      <c r="M16" s="34"/>
    </row>
    <row r="17" spans="1:13" ht="15" customHeight="1">
      <c r="A17" s="485">
        <f>A16+1</f>
        <v>5</v>
      </c>
      <c r="B17" s="393"/>
      <c r="C17" s="53" t="s">
        <v>263</v>
      </c>
      <c r="D17" s="50" t="s">
        <v>385</v>
      </c>
      <c r="E17" s="51">
        <f>0.05*I12</f>
        <v>23.17</v>
      </c>
      <c r="F17" s="377"/>
      <c r="G17" s="52">
        <f>E17*F17</f>
        <v>0</v>
      </c>
      <c r="H17" s="7"/>
      <c r="I17" s="34"/>
      <c r="J17" s="48"/>
      <c r="K17" s="34"/>
      <c r="L17" s="34"/>
      <c r="M17" s="34"/>
    </row>
    <row r="18" spans="1:13" ht="16.5">
      <c r="A18" s="485">
        <f>A17+1</f>
        <v>6</v>
      </c>
      <c r="B18" s="393"/>
      <c r="C18" s="49" t="s">
        <v>139</v>
      </c>
      <c r="D18" s="50" t="s">
        <v>385</v>
      </c>
      <c r="E18" s="51">
        <f>0.05*I12</f>
        <v>23.17</v>
      </c>
      <c r="F18" s="377"/>
      <c r="G18" s="52">
        <f>E18*F18</f>
        <v>0</v>
      </c>
      <c r="H18" s="7"/>
      <c r="I18" s="34"/>
      <c r="J18" s="34">
        <f>SUM(J16:J17)</f>
        <v>55.6</v>
      </c>
      <c r="K18" s="34"/>
      <c r="L18" s="34"/>
      <c r="M18" s="34"/>
    </row>
    <row r="19" spans="1:13" ht="28.5">
      <c r="A19" s="485">
        <v>4</v>
      </c>
      <c r="B19" s="409"/>
      <c r="C19" s="53" t="s">
        <v>137</v>
      </c>
      <c r="D19" s="48"/>
      <c r="E19" s="48"/>
      <c r="F19" s="52"/>
      <c r="G19" s="52"/>
      <c r="H19" s="7"/>
      <c r="I19" s="34"/>
      <c r="J19" s="34"/>
      <c r="K19" s="34"/>
      <c r="L19" s="34"/>
      <c r="M19" s="34"/>
    </row>
    <row r="20" spans="1:13" ht="15" customHeight="1">
      <c r="A20" s="485">
        <f>A19+1</f>
        <v>5</v>
      </c>
      <c r="B20" s="393"/>
      <c r="C20" s="49" t="s">
        <v>140</v>
      </c>
      <c r="D20" s="50" t="s">
        <v>385</v>
      </c>
      <c r="E20" s="51">
        <f>0.9*J12</f>
        <v>217.224</v>
      </c>
      <c r="F20" s="377"/>
      <c r="G20" s="52">
        <f>E20*F20</f>
        <v>0</v>
      </c>
      <c r="H20" s="7"/>
      <c r="I20" s="34"/>
      <c r="J20" s="34"/>
      <c r="K20" s="34"/>
      <c r="L20" s="34"/>
      <c r="M20" s="34"/>
    </row>
    <row r="21" spans="1:13" ht="15" customHeight="1">
      <c r="A21" s="485">
        <f>A20+1</f>
        <v>6</v>
      </c>
      <c r="B21" s="393"/>
      <c r="C21" s="53" t="s">
        <v>263</v>
      </c>
      <c r="D21" s="50" t="s">
        <v>385</v>
      </c>
      <c r="E21" s="51">
        <f>0.05*J12</f>
        <v>12.068</v>
      </c>
      <c r="F21" s="377"/>
      <c r="G21" s="52">
        <f>E21*F21</f>
        <v>0</v>
      </c>
      <c r="H21" s="7"/>
      <c r="I21" s="34"/>
      <c r="J21" s="34"/>
      <c r="K21" s="34"/>
      <c r="L21" s="34"/>
      <c r="M21" s="34"/>
    </row>
    <row r="22" spans="1:13" ht="16.5">
      <c r="A22" s="485">
        <f>A21+1</f>
        <v>7</v>
      </c>
      <c r="B22" s="393"/>
      <c r="C22" s="49" t="s">
        <v>139</v>
      </c>
      <c r="D22" s="50" t="s">
        <v>385</v>
      </c>
      <c r="E22" s="51">
        <f>0.05*J12</f>
        <v>12.068</v>
      </c>
      <c r="F22" s="377"/>
      <c r="G22" s="52">
        <f>E22*F22</f>
        <v>0</v>
      </c>
      <c r="H22" s="7"/>
      <c r="I22" s="34"/>
      <c r="J22" s="34"/>
      <c r="K22" s="34"/>
      <c r="L22" s="34"/>
      <c r="M22" s="34"/>
    </row>
    <row r="23" spans="1:13" ht="28.5">
      <c r="A23" s="485">
        <v>5</v>
      </c>
      <c r="B23" s="409"/>
      <c r="C23" s="53" t="s">
        <v>138</v>
      </c>
      <c r="D23" s="48"/>
      <c r="E23" s="48"/>
      <c r="F23" s="52"/>
      <c r="G23" s="52"/>
      <c r="H23" s="7"/>
      <c r="I23" s="34"/>
      <c r="J23" s="34"/>
      <c r="K23" s="34"/>
      <c r="L23" s="34"/>
      <c r="M23" s="34"/>
    </row>
    <row r="24" spans="1:13" ht="15" customHeight="1">
      <c r="A24" s="485">
        <f>A23+1</f>
        <v>6</v>
      </c>
      <c r="B24" s="393"/>
      <c r="C24" s="49" t="s">
        <v>140</v>
      </c>
      <c r="D24" s="50" t="s">
        <v>385</v>
      </c>
      <c r="E24" s="51">
        <f>0.9*L12</f>
        <v>541.17</v>
      </c>
      <c r="F24" s="377"/>
      <c r="G24" s="52">
        <f>E24*F24</f>
        <v>0</v>
      </c>
      <c r="H24" s="7"/>
      <c r="I24" s="34"/>
      <c r="J24" s="34"/>
      <c r="K24" s="34"/>
      <c r="L24" s="34"/>
      <c r="M24" s="34"/>
    </row>
    <row r="25" spans="1:13" ht="16.5">
      <c r="A25" s="485">
        <f>A24+1</f>
        <v>7</v>
      </c>
      <c r="B25" s="393"/>
      <c r="C25" s="53" t="s">
        <v>263</v>
      </c>
      <c r="D25" s="50" t="s">
        <v>385</v>
      </c>
      <c r="E25" s="51">
        <f>0.05*L12</f>
        <v>30.064999999999998</v>
      </c>
      <c r="F25" s="377"/>
      <c r="G25" s="52">
        <f>E25*F25</f>
        <v>0</v>
      </c>
      <c r="H25" s="7"/>
      <c r="I25" s="34"/>
      <c r="J25" s="34"/>
      <c r="K25" s="34"/>
      <c r="L25" s="34"/>
      <c r="M25" s="34"/>
    </row>
    <row r="26" spans="1:13" ht="16.5">
      <c r="A26" s="485">
        <f>A25+1</f>
        <v>8</v>
      </c>
      <c r="B26" s="393"/>
      <c r="C26" s="49" t="s">
        <v>139</v>
      </c>
      <c r="D26" s="50" t="s">
        <v>385</v>
      </c>
      <c r="E26" s="51">
        <f>0.05*L12</f>
        <v>30.064999999999998</v>
      </c>
      <c r="F26" s="377"/>
      <c r="G26" s="52">
        <f>E26*F26</f>
        <v>0</v>
      </c>
      <c r="H26" s="7"/>
      <c r="I26" s="34"/>
      <c r="J26" s="34"/>
      <c r="K26" s="34"/>
      <c r="L26" s="34"/>
      <c r="M26" s="34"/>
    </row>
    <row r="27" spans="1:8" ht="28.5">
      <c r="A27" s="48">
        <v>6</v>
      </c>
      <c r="B27" s="393"/>
      <c r="C27" s="80" t="s">
        <v>196</v>
      </c>
      <c r="D27" s="50" t="s">
        <v>385</v>
      </c>
      <c r="E27" s="51">
        <f>E18+E22+E26</f>
        <v>65.303</v>
      </c>
      <c r="F27" s="377"/>
      <c r="G27" s="52">
        <f aca="true" t="shared" si="0" ref="G27:G39">E27*F27</f>
        <v>0</v>
      </c>
      <c r="H27" s="7"/>
    </row>
    <row r="28" spans="1:8" ht="16.5">
      <c r="A28" s="48">
        <v>7</v>
      </c>
      <c r="B28" s="393"/>
      <c r="C28" s="80" t="s">
        <v>72</v>
      </c>
      <c r="D28" s="50" t="s">
        <v>385</v>
      </c>
      <c r="E28" s="51">
        <v>139.67</v>
      </c>
      <c r="F28" s="377"/>
      <c r="G28" s="52">
        <f t="shared" si="0"/>
        <v>0</v>
      </c>
      <c r="H28" s="7"/>
    </row>
    <row r="29" spans="1:8" ht="16.5">
      <c r="A29" s="48">
        <v>8</v>
      </c>
      <c r="B29" s="393"/>
      <c r="C29" s="49" t="s">
        <v>387</v>
      </c>
      <c r="D29" s="48" t="s">
        <v>386</v>
      </c>
      <c r="E29" s="48">
        <f>278*4</f>
        <v>1112</v>
      </c>
      <c r="F29" s="377"/>
      <c r="G29" s="52">
        <f t="shared" si="0"/>
        <v>0</v>
      </c>
      <c r="H29" s="7"/>
    </row>
    <row r="30" spans="1:8" ht="16.5">
      <c r="A30" s="48">
        <v>9</v>
      </c>
      <c r="B30" s="393"/>
      <c r="C30" s="80" t="s">
        <v>73</v>
      </c>
      <c r="D30" s="50" t="s">
        <v>385</v>
      </c>
      <c r="E30" s="51">
        <f>0.1*1.6*E32</f>
        <v>44.48000000000001</v>
      </c>
      <c r="F30" s="377"/>
      <c r="G30" s="52">
        <f t="shared" si="0"/>
        <v>0</v>
      </c>
      <c r="H30" s="7"/>
    </row>
    <row r="31" spans="1:8" ht="28.5">
      <c r="A31" s="48">
        <v>10</v>
      </c>
      <c r="B31" s="393"/>
      <c r="C31" s="53" t="s">
        <v>141</v>
      </c>
      <c r="D31" s="50" t="s">
        <v>385</v>
      </c>
      <c r="E31" s="51">
        <f>M12-E30-E28</f>
        <v>1121.9099999999999</v>
      </c>
      <c r="F31" s="377"/>
      <c r="G31" s="52">
        <f t="shared" si="0"/>
        <v>0</v>
      </c>
      <c r="H31" s="7"/>
    </row>
    <row r="32" spans="1:13" ht="14.25">
      <c r="A32" s="48">
        <v>11</v>
      </c>
      <c r="B32" s="393"/>
      <c r="C32" s="53" t="s">
        <v>126</v>
      </c>
      <c r="D32" s="48" t="s">
        <v>190</v>
      </c>
      <c r="E32" s="48">
        <v>278</v>
      </c>
      <c r="F32" s="377"/>
      <c r="G32" s="52">
        <f t="shared" si="0"/>
        <v>0</v>
      </c>
      <c r="H32" s="7"/>
      <c r="I32" s="30"/>
      <c r="J32" s="30"/>
      <c r="K32" s="30"/>
      <c r="L32" s="30"/>
      <c r="M32" s="30"/>
    </row>
    <row r="33" spans="1:13" ht="28.5">
      <c r="A33" s="48">
        <v>12</v>
      </c>
      <c r="B33" s="393"/>
      <c r="C33" s="53" t="s">
        <v>392</v>
      </c>
      <c r="D33" s="48" t="s">
        <v>190</v>
      </c>
      <c r="E33" s="48">
        <v>278</v>
      </c>
      <c r="F33" s="377"/>
      <c r="G33" s="52">
        <f t="shared" si="0"/>
        <v>0</v>
      </c>
      <c r="H33" s="7"/>
      <c r="I33" s="30"/>
      <c r="J33" s="30"/>
      <c r="K33" s="30"/>
      <c r="M33" s="30"/>
    </row>
    <row r="34" spans="1:8" ht="16.5">
      <c r="A34" s="48">
        <v>13</v>
      </c>
      <c r="B34" s="393"/>
      <c r="C34" s="53" t="s">
        <v>316</v>
      </c>
      <c r="D34" s="48" t="s">
        <v>386</v>
      </c>
      <c r="E34" s="51">
        <f>1.3*E33</f>
        <v>361.40000000000003</v>
      </c>
      <c r="F34" s="377"/>
      <c r="G34" s="52">
        <f t="shared" si="0"/>
        <v>0</v>
      </c>
      <c r="H34" s="7"/>
    </row>
    <row r="35" spans="1:8" ht="28.5">
      <c r="A35" s="48">
        <v>14</v>
      </c>
      <c r="B35" s="393"/>
      <c r="C35" s="80" t="s">
        <v>318</v>
      </c>
      <c r="D35" s="50" t="s">
        <v>385</v>
      </c>
      <c r="E35" s="51">
        <f>J16-E36-5.58</f>
        <v>36.120000000000005</v>
      </c>
      <c r="F35" s="377"/>
      <c r="G35" s="52">
        <f t="shared" si="0"/>
        <v>0</v>
      </c>
      <c r="H35" s="7"/>
    </row>
    <row r="36" spans="1:8" ht="16.5">
      <c r="A36" s="48">
        <v>15</v>
      </c>
      <c r="B36" s="393"/>
      <c r="C36" s="80" t="s">
        <v>317</v>
      </c>
      <c r="D36" s="50" t="s">
        <v>385</v>
      </c>
      <c r="E36" s="51">
        <f>0.1*0.5*E33</f>
        <v>13.9</v>
      </c>
      <c r="F36" s="377"/>
      <c r="G36" s="52">
        <f t="shared" si="0"/>
        <v>0</v>
      </c>
      <c r="H36" s="34"/>
    </row>
    <row r="37" spans="1:8" ht="28.5">
      <c r="A37" s="48">
        <v>16</v>
      </c>
      <c r="B37" s="393"/>
      <c r="C37" s="53" t="s">
        <v>352</v>
      </c>
      <c r="D37" s="48" t="s">
        <v>191</v>
      </c>
      <c r="E37" s="48">
        <v>2</v>
      </c>
      <c r="F37" s="377"/>
      <c r="G37" s="52">
        <f t="shared" si="0"/>
        <v>0</v>
      </c>
      <c r="H37" s="7"/>
    </row>
    <row r="38" spans="1:8" ht="28.5">
      <c r="A38" s="48">
        <v>17</v>
      </c>
      <c r="B38" s="393"/>
      <c r="C38" s="53" t="s">
        <v>311</v>
      </c>
      <c r="D38" s="48" t="s">
        <v>191</v>
      </c>
      <c r="E38" s="48">
        <v>1</v>
      </c>
      <c r="F38" s="377"/>
      <c r="G38" s="52">
        <f t="shared" si="0"/>
        <v>0</v>
      </c>
      <c r="H38" s="7"/>
    </row>
    <row r="39" spans="1:8" ht="28.5">
      <c r="A39" s="48">
        <v>18</v>
      </c>
      <c r="B39" s="393"/>
      <c r="C39" s="53" t="s">
        <v>36</v>
      </c>
      <c r="D39" s="48" t="s">
        <v>191</v>
      </c>
      <c r="E39" s="48">
        <v>2</v>
      </c>
      <c r="F39" s="377"/>
      <c r="G39" s="52">
        <f t="shared" si="0"/>
        <v>0</v>
      </c>
      <c r="H39" s="7"/>
    </row>
    <row r="40" spans="1:13" s="2" customFormat="1" ht="14.25">
      <c r="A40" s="48">
        <v>19</v>
      </c>
      <c r="B40" s="393"/>
      <c r="C40" s="49" t="s">
        <v>192</v>
      </c>
      <c r="D40" s="48" t="s">
        <v>193</v>
      </c>
      <c r="E40" s="51">
        <f>40*278/2000</f>
        <v>5.56</v>
      </c>
      <c r="F40" s="377"/>
      <c r="G40" s="52">
        <f>E40*F40</f>
        <v>0</v>
      </c>
      <c r="H40" s="7"/>
      <c r="I40" s="29"/>
      <c r="J40" s="29"/>
      <c r="K40" s="29"/>
      <c r="L40" s="29"/>
      <c r="M40" s="29"/>
    </row>
    <row r="41" spans="1:8" ht="16.5">
      <c r="A41" s="48">
        <v>20</v>
      </c>
      <c r="B41" s="393"/>
      <c r="C41" s="77" t="s">
        <v>35</v>
      </c>
      <c r="D41" s="48" t="s">
        <v>386</v>
      </c>
      <c r="E41" s="85">
        <f>E13</f>
        <v>115.5</v>
      </c>
      <c r="F41" s="377"/>
      <c r="G41" s="52">
        <f>E41*F41</f>
        <v>0</v>
      </c>
      <c r="H41" s="7"/>
    </row>
    <row r="42" spans="1:8" ht="16.5">
      <c r="A42" s="48">
        <v>21</v>
      </c>
      <c r="B42" s="393"/>
      <c r="C42" s="77" t="s">
        <v>86</v>
      </c>
      <c r="D42" s="83" t="s">
        <v>385</v>
      </c>
      <c r="E42" s="85">
        <v>96.8</v>
      </c>
      <c r="F42" s="377"/>
      <c r="G42" s="52">
        <f>E42*F42</f>
        <v>0</v>
      </c>
      <c r="H42" s="7"/>
    </row>
    <row r="43" spans="1:8" ht="16.5">
      <c r="A43" s="48">
        <v>22</v>
      </c>
      <c r="B43" s="393"/>
      <c r="C43" s="77" t="s">
        <v>71</v>
      </c>
      <c r="D43" s="83" t="s">
        <v>385</v>
      </c>
      <c r="E43" s="85">
        <f>E42</f>
        <v>96.8</v>
      </c>
      <c r="F43" s="377"/>
      <c r="G43" s="52">
        <f>E43*F43</f>
        <v>0</v>
      </c>
      <c r="H43" s="7"/>
    </row>
    <row r="44" spans="1:8" ht="28.5">
      <c r="A44" s="485">
        <v>23</v>
      </c>
      <c r="B44" s="409"/>
      <c r="C44" s="77" t="s">
        <v>75</v>
      </c>
      <c r="D44" s="74"/>
      <c r="E44" s="85"/>
      <c r="F44" s="52"/>
      <c r="G44" s="52"/>
      <c r="H44" s="7"/>
    </row>
    <row r="45" spans="1:8" ht="16.5">
      <c r="A45" s="485"/>
      <c r="B45" s="393"/>
      <c r="C45" s="49" t="s">
        <v>77</v>
      </c>
      <c r="D45" s="48" t="s">
        <v>385</v>
      </c>
      <c r="E45" s="85">
        <v>94.5</v>
      </c>
      <c r="F45" s="377"/>
      <c r="G45" s="52">
        <f aca="true" t="shared" si="1" ref="G45:G51">E45*F45</f>
        <v>0</v>
      </c>
      <c r="H45" s="7"/>
    </row>
    <row r="46" spans="1:8" ht="16.5">
      <c r="A46" s="485"/>
      <c r="B46" s="393"/>
      <c r="C46" s="49" t="s">
        <v>78</v>
      </c>
      <c r="D46" s="48" t="s">
        <v>385</v>
      </c>
      <c r="E46" s="85">
        <v>57</v>
      </c>
      <c r="F46" s="377"/>
      <c r="G46" s="52">
        <f t="shared" si="1"/>
        <v>0</v>
      </c>
      <c r="H46" s="7"/>
    </row>
    <row r="47" spans="1:8" ht="28.5">
      <c r="A47" s="485"/>
      <c r="B47" s="393"/>
      <c r="C47" s="53" t="s">
        <v>76</v>
      </c>
      <c r="D47" s="48" t="s">
        <v>385</v>
      </c>
      <c r="E47" s="51">
        <v>56.7</v>
      </c>
      <c r="F47" s="377"/>
      <c r="G47" s="52">
        <f t="shared" si="1"/>
        <v>0</v>
      </c>
      <c r="H47" s="7"/>
    </row>
    <row r="48" spans="1:8" ht="28.5">
      <c r="A48" s="485"/>
      <c r="B48" s="393"/>
      <c r="C48" s="53" t="s">
        <v>87</v>
      </c>
      <c r="D48" s="48" t="s">
        <v>385</v>
      </c>
      <c r="E48" s="51">
        <f>E45-E47</f>
        <v>37.8</v>
      </c>
      <c r="F48" s="377"/>
      <c r="G48" s="52">
        <f t="shared" si="1"/>
        <v>0</v>
      </c>
      <c r="H48" s="7"/>
    </row>
    <row r="49" spans="1:8" s="30" customFormat="1" ht="28.5">
      <c r="A49" s="485"/>
      <c r="B49" s="393"/>
      <c r="C49" s="80" t="s">
        <v>130</v>
      </c>
      <c r="D49" s="74" t="s">
        <v>190</v>
      </c>
      <c r="E49" s="85">
        <v>126</v>
      </c>
      <c r="F49" s="377"/>
      <c r="G49" s="90">
        <f t="shared" si="1"/>
        <v>0</v>
      </c>
      <c r="H49" s="8"/>
    </row>
    <row r="50" spans="1:8" s="30" customFormat="1" ht="28.5">
      <c r="A50" s="485"/>
      <c r="B50" s="393"/>
      <c r="C50" s="80" t="s">
        <v>131</v>
      </c>
      <c r="D50" s="74" t="s">
        <v>191</v>
      </c>
      <c r="E50" s="85">
        <v>1</v>
      </c>
      <c r="F50" s="377"/>
      <c r="G50" s="90">
        <f t="shared" si="1"/>
        <v>0</v>
      </c>
      <c r="H50" s="8"/>
    </row>
    <row r="51" spans="1:8" ht="14.25">
      <c r="A51" s="48">
        <v>24</v>
      </c>
      <c r="B51" s="393"/>
      <c r="C51" s="55" t="s">
        <v>88</v>
      </c>
      <c r="D51" s="50" t="s">
        <v>190</v>
      </c>
      <c r="E51" s="50">
        <v>278</v>
      </c>
      <c r="F51" s="377"/>
      <c r="G51" s="52">
        <f t="shared" si="1"/>
        <v>0</v>
      </c>
      <c r="H51" s="7"/>
    </row>
    <row r="52" spans="5:7" ht="15">
      <c r="E52" s="57"/>
      <c r="F52" s="58" t="s">
        <v>364</v>
      </c>
      <c r="G52" s="59">
        <f>SUM(G13:G51)</f>
        <v>0</v>
      </c>
    </row>
    <row r="53" spans="5:7" ht="15">
      <c r="E53" s="484" t="s">
        <v>206</v>
      </c>
      <c r="F53" s="484"/>
      <c r="G53" s="59">
        <f>G52*0.2</f>
        <v>0</v>
      </c>
    </row>
    <row r="54" spans="3:7" ht="15">
      <c r="C54" s="26"/>
      <c r="E54" s="57"/>
      <c r="F54" s="60" t="s">
        <v>365</v>
      </c>
      <c r="G54" s="59">
        <f>SUM(G52:G53)</f>
        <v>0</v>
      </c>
    </row>
    <row r="55" spans="3:5" ht="14.25">
      <c r="C55" s="61"/>
      <c r="D55" s="62"/>
      <c r="E55" s="62"/>
    </row>
    <row r="56" spans="2:16" ht="18.75">
      <c r="B56" s="321" t="s">
        <v>370</v>
      </c>
      <c r="C56" s="64" t="s">
        <v>371</v>
      </c>
      <c r="D56" s="62"/>
      <c r="E56" s="62"/>
      <c r="H56" s="28"/>
      <c r="I56" s="28"/>
      <c r="J56" s="28"/>
      <c r="K56" s="28"/>
      <c r="L56" s="28"/>
      <c r="M56" s="28"/>
      <c r="N56" s="28"/>
      <c r="O56" s="28"/>
      <c r="P56" s="28"/>
    </row>
    <row r="57" spans="8:16" ht="14.25">
      <c r="H57" s="28"/>
      <c r="I57" s="28"/>
      <c r="J57" s="28"/>
      <c r="K57" s="28"/>
      <c r="L57" s="28"/>
      <c r="M57" s="28"/>
      <c r="N57" s="28"/>
      <c r="O57" s="28"/>
      <c r="P57" s="28"/>
    </row>
    <row r="58" spans="8:16" ht="15" customHeight="1">
      <c r="H58" s="28"/>
      <c r="I58" s="28"/>
      <c r="J58" s="28"/>
      <c r="K58" s="28"/>
      <c r="L58" s="28"/>
      <c r="M58" s="28"/>
      <c r="N58" s="28"/>
      <c r="O58" s="28"/>
      <c r="P58" s="28"/>
    </row>
    <row r="59" spans="8:16" ht="14.25">
      <c r="H59" s="28"/>
      <c r="I59" s="28"/>
      <c r="J59" s="28"/>
      <c r="K59" s="28"/>
      <c r="L59" s="28"/>
      <c r="M59" s="28"/>
      <c r="N59" s="28"/>
      <c r="O59" s="28"/>
      <c r="P59" s="28"/>
    </row>
    <row r="60" spans="1:6" s="67" customFormat="1" ht="15">
      <c r="A60" s="65" t="s">
        <v>373</v>
      </c>
      <c r="B60" s="322"/>
      <c r="C60" s="65"/>
      <c r="D60" s="66" t="s">
        <v>374</v>
      </c>
      <c r="E60" s="24"/>
      <c r="F60" s="426"/>
    </row>
    <row r="61" spans="1:6" s="67" customFormat="1" ht="12.75">
      <c r="A61" s="11"/>
      <c r="B61" s="322"/>
      <c r="C61" s="11"/>
      <c r="D61" s="2"/>
      <c r="E61" s="24"/>
      <c r="F61" s="426"/>
    </row>
    <row r="62" spans="1:6" s="67" customFormat="1" ht="14.25">
      <c r="A62" s="11"/>
      <c r="B62" s="322"/>
      <c r="C62" s="68"/>
      <c r="D62" s="69" t="s">
        <v>375</v>
      </c>
      <c r="E62" s="24"/>
      <c r="F62" s="426"/>
    </row>
    <row r="63" spans="1:6" s="67" customFormat="1" ht="12.75">
      <c r="A63" s="11"/>
      <c r="B63" s="322"/>
      <c r="C63" s="11"/>
      <c r="D63" s="2"/>
      <c r="E63" s="70" t="s">
        <v>376</v>
      </c>
      <c r="F63" s="426"/>
    </row>
    <row r="64" spans="1:6" s="67" customFormat="1" ht="14.25">
      <c r="A64" s="11"/>
      <c r="B64" s="322"/>
      <c r="C64" s="68"/>
      <c r="D64" s="69" t="s">
        <v>377</v>
      </c>
      <c r="E64" s="24"/>
      <c r="F64" s="426"/>
    </row>
    <row r="65" spans="1:6" s="67" customFormat="1" ht="12.75">
      <c r="A65" s="11"/>
      <c r="B65" s="322"/>
      <c r="C65" s="11"/>
      <c r="D65" s="71" t="s">
        <v>378</v>
      </c>
      <c r="E65" s="24"/>
      <c r="F65" s="426"/>
    </row>
  </sheetData>
  <sheetProtection sheet="1" formatCells="0" formatColumns="0" formatRows="0" insertColumns="0" insertRows="0" insertHyperlinks="0" deleteColumns="0" deleteRows="0"/>
  <protectedRanges>
    <protectedRange password="CF7A" sqref="A56:E65" name="Range1"/>
    <protectedRange password="CF7A" sqref="A9:A12 C9:E12 B9:B10 B12" name="Range1_2"/>
    <protectedRange password="CF7A" sqref="F53 E52:E54" name="Range1_1"/>
    <protectedRange password="CF7A" sqref="A6:E7" name="Range1_3"/>
  </protectedRanges>
  <mergeCells count="21">
    <mergeCell ref="F6:F7"/>
    <mergeCell ref="F10:F11"/>
    <mergeCell ref="A9:E9"/>
    <mergeCell ref="D10:D11"/>
    <mergeCell ref="C1:G1"/>
    <mergeCell ref="C3:G3"/>
    <mergeCell ref="A4:B4"/>
    <mergeCell ref="C4:G4"/>
    <mergeCell ref="C5:G5"/>
    <mergeCell ref="A10:A11"/>
    <mergeCell ref="B10:B11"/>
    <mergeCell ref="C10:C11"/>
    <mergeCell ref="A6:E7"/>
    <mergeCell ref="A8:G8"/>
    <mergeCell ref="E53:F53"/>
    <mergeCell ref="A19:A22"/>
    <mergeCell ref="A23:A26"/>
    <mergeCell ref="A44:A50"/>
    <mergeCell ref="A15:A18"/>
    <mergeCell ref="G10:G11"/>
    <mergeCell ref="E10:E11"/>
  </mergeCells>
  <printOptions horizontalCentered="1"/>
  <pageMargins left="0.5905511811023623" right="0.2755905511811024" top="0.4330708661417323" bottom="0.5118110236220472" header="0.3937007874015748" footer="0.3937007874015748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9"/>
  <sheetViews>
    <sheetView zoomScale="90" zoomScaleNormal="90" zoomScalePageLayoutView="0" workbookViewId="0" topLeftCell="A16">
      <selection activeCell="D23" sqref="D23"/>
    </sheetView>
  </sheetViews>
  <sheetFormatPr defaultColWidth="9.140625" defaultRowHeight="12.75"/>
  <cols>
    <col min="1" max="1" width="7.28125" style="29" customWidth="1"/>
    <col min="2" max="2" width="19.57421875" style="320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573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10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14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350.28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100.78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503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139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1.7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278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168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M8*3*2</f>
        <v>84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4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236.29999999999998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M8*3*M9</f>
        <v>50.4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14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28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31.47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2" ht="28.5">
      <c r="A20" s="496">
        <v>8</v>
      </c>
      <c r="B20" s="408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0.7*I21</f>
        <v>315.74199999999996</v>
      </c>
      <c r="F21" s="377"/>
      <c r="G21" s="52">
        <f>E21*F21</f>
        <v>0</v>
      </c>
      <c r="H21" s="7"/>
      <c r="I21" s="76">
        <f>SUM(I9:I20)</f>
        <v>451.05999999999995</v>
      </c>
      <c r="J21" s="76">
        <f>SUM(J9:J20)</f>
        <v>0</v>
      </c>
      <c r="K21" s="48">
        <f>SUM(I21:J21)</f>
        <v>451.05999999999995</v>
      </c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0.05*I21</f>
        <v>22.552999999999997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0.25*I21</f>
        <v>112.76499999999999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09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100.8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93"/>
      <c r="C26" s="53" t="s">
        <v>266</v>
      </c>
      <c r="D26" s="50" t="s">
        <v>385</v>
      </c>
      <c r="E26" s="51">
        <f>0.05*M13</f>
        <v>8.4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58.8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171.565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171.565</v>
      </c>
      <c r="F29" s="377"/>
      <c r="G29" s="52">
        <f t="shared" si="1"/>
        <v>0</v>
      </c>
      <c r="H29" s="7"/>
      <c r="I29" s="34"/>
      <c r="J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K21+M13</f>
        <v>619.06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93"/>
      <c r="C31" s="49" t="s">
        <v>387</v>
      </c>
      <c r="D31" s="48" t="s">
        <v>386</v>
      </c>
      <c r="E31" s="48">
        <f>M11*4</f>
        <v>556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93"/>
      <c r="C32" s="80" t="s">
        <v>42</v>
      </c>
      <c r="D32" s="50" t="s">
        <v>385</v>
      </c>
      <c r="E32" s="51">
        <f>0.1*1.2*M11</f>
        <v>16.68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93"/>
      <c r="C33" s="53" t="s">
        <v>43</v>
      </c>
      <c r="D33" s="50" t="s">
        <v>385</v>
      </c>
      <c r="E33" s="51">
        <f>E30-E32-E43-9.82</f>
        <v>504.98999999999995</v>
      </c>
      <c r="F33" s="377"/>
      <c r="G33" s="52">
        <f t="shared" si="1"/>
        <v>0</v>
      </c>
      <c r="H33" s="7"/>
      <c r="I33" s="34"/>
      <c r="J33" s="34"/>
      <c r="K33" s="34"/>
    </row>
    <row r="34" spans="1:15" s="30" customFormat="1" ht="14.25">
      <c r="A34" s="48">
        <v>16</v>
      </c>
      <c r="B34" s="393"/>
      <c r="C34" s="53" t="s">
        <v>271</v>
      </c>
      <c r="D34" s="48" t="s">
        <v>190</v>
      </c>
      <c r="E34" s="48">
        <v>139</v>
      </c>
      <c r="F34" s="377"/>
      <c r="G34" s="52">
        <f t="shared" si="1"/>
        <v>0</v>
      </c>
      <c r="H34" s="7"/>
      <c r="I34" s="29"/>
      <c r="J34" s="29"/>
      <c r="K34" s="29"/>
      <c r="L34" s="29"/>
      <c r="M34" s="29"/>
      <c r="N34" s="29"/>
      <c r="O34" s="29"/>
    </row>
    <row r="35" spans="1:8" ht="28.5">
      <c r="A35" s="48">
        <v>17</v>
      </c>
      <c r="B35" s="393"/>
      <c r="C35" s="53" t="s">
        <v>309</v>
      </c>
      <c r="D35" s="48" t="s">
        <v>191</v>
      </c>
      <c r="E35" s="48">
        <f>M14</f>
        <v>4</v>
      </c>
      <c r="F35" s="377"/>
      <c r="G35" s="52">
        <f t="shared" si="1"/>
        <v>0</v>
      </c>
      <c r="H35" s="7"/>
    </row>
    <row r="36" spans="1:15" ht="14.25">
      <c r="A36" s="48">
        <v>18</v>
      </c>
      <c r="B36" s="393"/>
      <c r="C36" s="53" t="s">
        <v>200</v>
      </c>
      <c r="D36" s="48" t="s">
        <v>191</v>
      </c>
      <c r="E36" s="48">
        <f>M8</f>
        <v>14</v>
      </c>
      <c r="F36" s="377"/>
      <c r="G36" s="52">
        <f t="shared" si="1"/>
        <v>0</v>
      </c>
      <c r="H36" s="7"/>
      <c r="I36" s="30"/>
      <c r="J36" s="30"/>
      <c r="K36" s="30"/>
      <c r="L36" s="30"/>
      <c r="N36" s="30"/>
      <c r="O36" s="30"/>
    </row>
    <row r="37" spans="1:8" ht="42.75">
      <c r="A37" s="48">
        <v>19</v>
      </c>
      <c r="B37" s="393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7"/>
    </row>
    <row r="38" spans="1:13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2.78</v>
      </c>
      <c r="F38" s="377"/>
      <c r="G38" s="52">
        <f t="shared" si="1"/>
        <v>0</v>
      </c>
      <c r="H38" s="7"/>
      <c r="M38" s="34"/>
    </row>
    <row r="39" spans="1:8" ht="14.25">
      <c r="A39" s="48">
        <v>21</v>
      </c>
      <c r="B39" s="393"/>
      <c r="C39" s="95" t="s">
        <v>282</v>
      </c>
      <c r="D39" s="48" t="s">
        <v>190</v>
      </c>
      <c r="E39" s="51">
        <f>E17</f>
        <v>14</v>
      </c>
      <c r="F39" s="377"/>
      <c r="G39" s="52">
        <f t="shared" si="1"/>
        <v>0</v>
      </c>
      <c r="H39" s="7"/>
    </row>
    <row r="40" spans="1:15" s="30" customFormat="1" ht="15" customHeight="1">
      <c r="A40" s="48">
        <v>22</v>
      </c>
      <c r="B40" s="393"/>
      <c r="C40" s="95" t="s">
        <v>283</v>
      </c>
      <c r="D40" s="48" t="s">
        <v>386</v>
      </c>
      <c r="E40" s="51">
        <f>E18</f>
        <v>28</v>
      </c>
      <c r="F40" s="377"/>
      <c r="G40" s="52">
        <f t="shared" si="1"/>
        <v>0</v>
      </c>
      <c r="H40" s="34"/>
      <c r="I40" s="34"/>
      <c r="J40" s="29"/>
      <c r="N40" s="34"/>
      <c r="O40" s="29"/>
    </row>
    <row r="41" spans="1:14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27.523199999999996</v>
      </c>
      <c r="F41" s="377"/>
      <c r="G41" s="52">
        <f t="shared" si="1"/>
        <v>0</v>
      </c>
      <c r="H41" s="34"/>
      <c r="I41" s="34"/>
      <c r="N41" s="34"/>
    </row>
    <row r="42" spans="1:8" ht="28.5">
      <c r="A42" s="48">
        <v>24</v>
      </c>
      <c r="B42" s="393"/>
      <c r="C42" s="77" t="s">
        <v>20</v>
      </c>
      <c r="D42" s="48" t="s">
        <v>195</v>
      </c>
      <c r="E42" s="82">
        <f>(E15+E16)*0.06*2.4</f>
        <v>41.2848</v>
      </c>
      <c r="F42" s="377"/>
      <c r="G42" s="52">
        <f t="shared" si="1"/>
        <v>0</v>
      </c>
      <c r="H42" s="7"/>
    </row>
    <row r="43" spans="1:15" ht="28.5">
      <c r="A43" s="48">
        <v>25</v>
      </c>
      <c r="B43" s="393"/>
      <c r="C43" s="53" t="s">
        <v>21</v>
      </c>
      <c r="D43" s="83" t="s">
        <v>385</v>
      </c>
      <c r="E43" s="85">
        <v>87.57</v>
      </c>
      <c r="F43" s="377"/>
      <c r="G43" s="52">
        <f t="shared" si="1"/>
        <v>0</v>
      </c>
      <c r="H43" s="7"/>
      <c r="N43" s="30"/>
      <c r="O43" s="30"/>
    </row>
    <row r="44" spans="1:15" s="2" customFormat="1" ht="14.25">
      <c r="A44" s="48">
        <v>26</v>
      </c>
      <c r="B44" s="393"/>
      <c r="C44" s="77" t="s">
        <v>194</v>
      </c>
      <c r="D44" s="74" t="s">
        <v>190</v>
      </c>
      <c r="E44" s="85">
        <f>E13</f>
        <v>278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0"/>
      <c r="O44" s="30"/>
    </row>
    <row r="45" spans="1:15" s="30" customFormat="1" ht="14.25">
      <c r="A45" s="48">
        <v>27</v>
      </c>
      <c r="B45" s="393"/>
      <c r="C45" s="55" t="s">
        <v>201</v>
      </c>
      <c r="D45" s="50" t="s">
        <v>190</v>
      </c>
      <c r="E45" s="50">
        <f>M11</f>
        <v>139</v>
      </c>
      <c r="F45" s="377"/>
      <c r="G45" s="52">
        <f t="shared" si="1"/>
        <v>0</v>
      </c>
      <c r="H45" s="7"/>
      <c r="I45" s="29"/>
      <c r="J45" s="29"/>
      <c r="K45" s="29"/>
      <c r="L45" s="29"/>
      <c r="N45" s="29"/>
      <c r="O45" s="29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7" ht="15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321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322"/>
      <c r="C54" s="65"/>
      <c r="D54" s="66" t="s">
        <v>374</v>
      </c>
      <c r="E54" s="24"/>
      <c r="F54" s="426"/>
    </row>
    <row r="55" spans="1:6" s="67" customFormat="1" ht="12.75">
      <c r="A55" s="11"/>
      <c r="B55" s="322"/>
      <c r="C55" s="11"/>
      <c r="D55" s="2"/>
      <c r="E55" s="24"/>
      <c r="F55" s="426"/>
    </row>
    <row r="56" spans="1:6" s="67" customFormat="1" ht="14.25">
      <c r="A56" s="11"/>
      <c r="B56" s="322"/>
      <c r="C56" s="68"/>
      <c r="D56" s="69" t="s">
        <v>375</v>
      </c>
      <c r="E56" s="24"/>
      <c r="F56" s="426"/>
    </row>
    <row r="57" spans="1:6" s="67" customFormat="1" ht="12.75">
      <c r="A57" s="11"/>
      <c r="B57" s="322"/>
      <c r="C57" s="11"/>
      <c r="D57" s="2"/>
      <c r="E57" s="70" t="s">
        <v>376</v>
      </c>
      <c r="F57" s="426"/>
    </row>
    <row r="58" spans="1:6" s="67" customFormat="1" ht="14.25">
      <c r="A58" s="11"/>
      <c r="B58" s="322"/>
      <c r="C58" s="68"/>
      <c r="D58" s="69" t="s">
        <v>377</v>
      </c>
      <c r="E58" s="24"/>
      <c r="F58" s="426"/>
    </row>
    <row r="59" spans="1:6" s="67" customFormat="1" ht="12.75">
      <c r="A59" s="11"/>
      <c r="B59" s="32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47:F47"/>
    <mergeCell ref="A24:A27"/>
    <mergeCell ref="A20:A23"/>
    <mergeCell ref="A6:E7"/>
    <mergeCell ref="A9:E9"/>
    <mergeCell ref="A8:G8"/>
    <mergeCell ref="A10:A11"/>
    <mergeCell ref="B10:B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C3" sqref="C3:G3"/>
    </sheetView>
  </sheetViews>
  <sheetFormatPr defaultColWidth="9.140625" defaultRowHeight="12.75"/>
  <cols>
    <col min="1" max="1" width="7.28125" style="29" customWidth="1"/>
    <col min="2" max="2" width="19.5742187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574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11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92.4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28.35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93.24</v>
      </c>
      <c r="J11" s="48"/>
      <c r="K11" s="47"/>
      <c r="L11" s="48" t="s">
        <v>213</v>
      </c>
      <c r="M11" s="48">
        <v>79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26.83</v>
      </c>
      <c r="J12" s="48"/>
      <c r="K12" s="47"/>
      <c r="L12" s="48" t="s">
        <v>209</v>
      </c>
      <c r="M12" s="5">
        <v>1.65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158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57.599999999999994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M8*3.5*2</f>
        <v>28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130.35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M8*3.5*M9</f>
        <v>16.8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15.515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0.7*I21</f>
        <v>168.57399999999998</v>
      </c>
      <c r="F21" s="377"/>
      <c r="G21" s="52">
        <f>E21*F21</f>
        <v>0</v>
      </c>
      <c r="H21" s="7"/>
      <c r="I21" s="76">
        <f>SUM(I9:I20)</f>
        <v>240.82</v>
      </c>
      <c r="J21" s="76">
        <f>SUM(J9:J20)</f>
        <v>0</v>
      </c>
      <c r="K21" s="48">
        <f>SUM(I21:J21)</f>
        <v>240.82</v>
      </c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0.05*I21</f>
        <v>12.041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0.25*I21</f>
        <v>60.205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3"/>
      <c r="C24" s="44" t="s">
        <v>44</v>
      </c>
      <c r="D24" s="78"/>
      <c r="E24" s="78"/>
      <c r="F24" s="45"/>
      <c r="G24" s="79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34.559999999999995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2.88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20.159999999999997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80.365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80.365</v>
      </c>
      <c r="F29" s="377"/>
      <c r="G29" s="52">
        <f t="shared" si="1"/>
        <v>0</v>
      </c>
      <c r="H29" s="7"/>
      <c r="I29" s="34"/>
      <c r="J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K21+M13</f>
        <v>298.41999999999996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316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57"/>
      <c r="C32" s="80" t="s">
        <v>42</v>
      </c>
      <c r="D32" s="50" t="s">
        <v>385</v>
      </c>
      <c r="E32" s="51">
        <f>0.1*1.1*42+0.1*1.2*37</f>
        <v>9.06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E30-E32-E43-2.97-4.64</f>
        <v>230.12999999999997</v>
      </c>
      <c r="F33" s="377"/>
      <c r="G33" s="52">
        <f t="shared" si="1"/>
        <v>0</v>
      </c>
      <c r="H33" s="7"/>
      <c r="I33" s="34"/>
      <c r="J33" s="34"/>
      <c r="K33" s="34"/>
    </row>
    <row r="34" spans="1:15" s="30" customFormat="1" ht="14.25">
      <c r="A34" s="48">
        <v>16</v>
      </c>
      <c r="B34" s="357"/>
      <c r="C34" s="53" t="s">
        <v>291</v>
      </c>
      <c r="D34" s="48" t="s">
        <v>190</v>
      </c>
      <c r="E34" s="48">
        <v>42</v>
      </c>
      <c r="F34" s="377"/>
      <c r="G34" s="52">
        <f t="shared" si="1"/>
        <v>0</v>
      </c>
      <c r="H34" s="7"/>
      <c r="I34" s="29"/>
      <c r="J34" s="29"/>
      <c r="K34" s="29"/>
      <c r="L34" s="29"/>
      <c r="M34" s="29"/>
      <c r="N34" s="29"/>
      <c r="O34" s="29"/>
    </row>
    <row r="35" spans="1:8" ht="14.25">
      <c r="A35" s="48">
        <v>17</v>
      </c>
      <c r="B35" s="357"/>
      <c r="C35" s="53" t="s">
        <v>271</v>
      </c>
      <c r="D35" s="48" t="s">
        <v>190</v>
      </c>
      <c r="E35" s="48">
        <v>37</v>
      </c>
      <c r="F35" s="377"/>
      <c r="G35" s="52">
        <f t="shared" si="1"/>
        <v>0</v>
      </c>
      <c r="H35" s="7"/>
    </row>
    <row r="36" spans="1:14" ht="28.5">
      <c r="A36" s="48">
        <v>18</v>
      </c>
      <c r="B36" s="357"/>
      <c r="C36" s="53" t="s">
        <v>309</v>
      </c>
      <c r="D36" s="48" t="s">
        <v>191</v>
      </c>
      <c r="E36" s="48">
        <f>M14</f>
        <v>2</v>
      </c>
      <c r="F36" s="377"/>
      <c r="G36" s="52">
        <f t="shared" si="1"/>
        <v>0</v>
      </c>
      <c r="H36" s="7"/>
      <c r="N36" s="34"/>
    </row>
    <row r="37" spans="1:15" ht="14.25">
      <c r="A37" s="48">
        <v>19</v>
      </c>
      <c r="B37" s="357"/>
      <c r="C37" s="53" t="s">
        <v>200</v>
      </c>
      <c r="D37" s="48" t="s">
        <v>191</v>
      </c>
      <c r="E37" s="48">
        <f>M8</f>
        <v>4</v>
      </c>
      <c r="F37" s="377"/>
      <c r="G37" s="52">
        <f t="shared" si="1"/>
        <v>0</v>
      </c>
      <c r="H37" s="7"/>
      <c r="I37" s="30"/>
      <c r="J37" s="30"/>
      <c r="K37" s="30"/>
      <c r="L37" s="30"/>
      <c r="N37" s="30"/>
      <c r="O37" s="30"/>
    </row>
    <row r="38" spans="1:8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1.58</v>
      </c>
      <c r="F38" s="377"/>
      <c r="G38" s="52">
        <f t="shared" si="1"/>
        <v>0</v>
      </c>
      <c r="H38" s="7"/>
    </row>
    <row r="39" spans="1:8" ht="14.25">
      <c r="A39" s="48">
        <v>21</v>
      </c>
      <c r="B39" s="357"/>
      <c r="C39" s="95" t="s">
        <v>282</v>
      </c>
      <c r="D39" s="48" t="s">
        <v>190</v>
      </c>
      <c r="E39" s="51">
        <f>E17</f>
        <v>4</v>
      </c>
      <c r="F39" s="377"/>
      <c r="G39" s="52">
        <f t="shared" si="1"/>
        <v>0</v>
      </c>
      <c r="H39" s="7"/>
    </row>
    <row r="40" spans="1:15" s="30" customFormat="1" ht="15" customHeight="1">
      <c r="A40" s="48">
        <v>22</v>
      </c>
      <c r="B40" s="357"/>
      <c r="C40" s="95" t="s">
        <v>283</v>
      </c>
      <c r="D40" s="48" t="s">
        <v>386</v>
      </c>
      <c r="E40" s="51">
        <f>E18</f>
        <v>8</v>
      </c>
      <c r="F40" s="377"/>
      <c r="G40" s="52">
        <f t="shared" si="1"/>
        <v>0</v>
      </c>
      <c r="H40" s="34"/>
      <c r="I40" s="34"/>
      <c r="J40" s="29"/>
      <c r="N40" s="34"/>
      <c r="O40" s="29"/>
    </row>
    <row r="41" spans="1:14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14.126400000000002</v>
      </c>
      <c r="F41" s="377"/>
      <c r="G41" s="52">
        <f t="shared" si="1"/>
        <v>0</v>
      </c>
      <c r="H41" s="34"/>
      <c r="I41" s="34"/>
      <c r="N41" s="34"/>
    </row>
    <row r="42" spans="1:8" ht="28.5">
      <c r="A42" s="48">
        <v>24</v>
      </c>
      <c r="B42" s="357"/>
      <c r="C42" s="77" t="s">
        <v>20</v>
      </c>
      <c r="D42" s="48" t="s">
        <v>195</v>
      </c>
      <c r="E42" s="82">
        <f>(E15+E16)*0.06*2.4</f>
        <v>21.189600000000002</v>
      </c>
      <c r="F42" s="377"/>
      <c r="G42" s="52">
        <f t="shared" si="1"/>
        <v>0</v>
      </c>
      <c r="H42" s="7"/>
    </row>
    <row r="43" spans="1:15" ht="28.5">
      <c r="A43" s="48">
        <v>25</v>
      </c>
      <c r="B43" s="357"/>
      <c r="C43" s="53" t="s">
        <v>21</v>
      </c>
      <c r="D43" s="83" t="s">
        <v>385</v>
      </c>
      <c r="E43" s="85">
        <v>51.62</v>
      </c>
      <c r="F43" s="377"/>
      <c r="G43" s="52">
        <f t="shared" si="1"/>
        <v>0</v>
      </c>
      <c r="H43" s="7"/>
      <c r="N43" s="30"/>
      <c r="O43" s="30"/>
    </row>
    <row r="44" spans="1:15" s="2" customFormat="1" ht="14.25">
      <c r="A44" s="48">
        <v>26</v>
      </c>
      <c r="B44" s="357"/>
      <c r="C44" s="77" t="s">
        <v>194</v>
      </c>
      <c r="D44" s="74" t="s">
        <v>190</v>
      </c>
      <c r="E44" s="85">
        <f>E13</f>
        <v>158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0"/>
      <c r="O44" s="30"/>
    </row>
    <row r="45" spans="1:15" s="30" customFormat="1" ht="14.25">
      <c r="A45" s="48">
        <v>27</v>
      </c>
      <c r="B45" s="357"/>
      <c r="C45" s="55" t="s">
        <v>201</v>
      </c>
      <c r="D45" s="50" t="s">
        <v>190</v>
      </c>
      <c r="E45" s="50">
        <f>M11</f>
        <v>79</v>
      </c>
      <c r="F45" s="377"/>
      <c r="G45" s="52">
        <f t="shared" si="1"/>
        <v>0</v>
      </c>
      <c r="H45" s="7"/>
      <c r="I45" s="29"/>
      <c r="J45" s="29"/>
      <c r="K45" s="29"/>
      <c r="L45" s="29"/>
      <c r="N45" s="29"/>
      <c r="O45" s="29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7" ht="15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G47" name="Range1_1"/>
    <protectedRange password="CF7A" sqref="A6:E7" name="Range1_3_1"/>
    <protectedRange password="CF7A" sqref="A9:A12 C9:E12 B9:B10 B12" name="Range1_2_1"/>
    <protectedRange password="CF7A" sqref="A50:E59" name="Range1_4"/>
    <protectedRange password="CF7A" sqref="F47 E46:E48" name="Range1_1_1"/>
  </protectedRanges>
  <mergeCells count="19">
    <mergeCell ref="C1:G1"/>
    <mergeCell ref="C3:G3"/>
    <mergeCell ref="A4:B4"/>
    <mergeCell ref="C4:G4"/>
    <mergeCell ref="E47:F47"/>
    <mergeCell ref="F6:F7"/>
    <mergeCell ref="A10:A11"/>
    <mergeCell ref="B10:B11"/>
    <mergeCell ref="C10:C11"/>
    <mergeCell ref="A24:A27"/>
    <mergeCell ref="C5:G5"/>
    <mergeCell ref="A20:A23"/>
    <mergeCell ref="D10:D11"/>
    <mergeCell ref="E10:E11"/>
    <mergeCell ref="F10:F11"/>
    <mergeCell ref="A6:E7"/>
    <mergeCell ref="A8:G8"/>
    <mergeCell ref="A9:E9"/>
    <mergeCell ref="G10:G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C5" sqref="C5:G5"/>
    </sheetView>
  </sheetViews>
  <sheetFormatPr defaultColWidth="9.140625" defaultRowHeight="12.75"/>
  <cols>
    <col min="1" max="1" width="7.28125" style="29" customWidth="1"/>
    <col min="2" max="2" width="20.140625" style="29" customWidth="1"/>
    <col min="3" max="3" width="64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575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12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7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256.36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79.03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109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1.7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218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84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M8*3*2+O8*5*2</f>
        <v>42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185.29999999999998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M8*3*M9+O8*5*O11</f>
        <v>25.2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M8*1+O10*1</f>
        <v>7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M8*2+O10*2</f>
        <v>14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22.45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8"/>
      <c r="C20" s="53" t="s">
        <v>198</v>
      </c>
      <c r="D20" s="48"/>
      <c r="E20" s="48"/>
      <c r="F20" s="52"/>
      <c r="G20" s="52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234.77299999999997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16.7695</v>
      </c>
      <c r="F22" s="377"/>
      <c r="G22" s="52">
        <f>E22*F22</f>
        <v>0</v>
      </c>
      <c r="H22" s="7"/>
      <c r="I22" s="76">
        <f>SUM(I9:I21)</f>
        <v>335.39</v>
      </c>
      <c r="J22" s="76">
        <f>SUM(J9:J21)</f>
        <v>0</v>
      </c>
      <c r="K22" s="48">
        <f>SUM(I22:J22)</f>
        <v>335.39</v>
      </c>
      <c r="L22" s="34"/>
    </row>
    <row r="23" spans="1:11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83.8475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57"/>
      <c r="C25" s="49" t="s">
        <v>199</v>
      </c>
      <c r="D25" s="50" t="s">
        <v>385</v>
      </c>
      <c r="E25" s="51">
        <f>0.6*M13</f>
        <v>50.4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4.2</v>
      </c>
      <c r="F26" s="377"/>
      <c r="G26" s="52">
        <f t="shared" si="1"/>
        <v>0</v>
      </c>
      <c r="H26" s="7"/>
      <c r="I26" s="34"/>
      <c r="J26" s="34"/>
      <c r="K26" s="34"/>
    </row>
    <row r="27" spans="1:11" ht="16.5">
      <c r="A27" s="498"/>
      <c r="B27" s="357"/>
      <c r="C27" s="49" t="s">
        <v>267</v>
      </c>
      <c r="D27" s="50" t="s">
        <v>385</v>
      </c>
      <c r="E27" s="51">
        <f>0.35*M13</f>
        <v>29.4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113.2475</v>
      </c>
      <c r="F28" s="377"/>
      <c r="G28" s="52">
        <f t="shared" si="1"/>
        <v>0</v>
      </c>
      <c r="H28" s="7"/>
      <c r="I28" s="34"/>
      <c r="J28" s="34"/>
      <c r="K28" s="34"/>
    </row>
    <row r="29" spans="1:11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113.2475</v>
      </c>
      <c r="F29" s="377"/>
      <c r="G29" s="52">
        <f t="shared" si="1"/>
        <v>0</v>
      </c>
      <c r="H29" s="7"/>
      <c r="I29" s="34"/>
      <c r="J29" s="34"/>
      <c r="K29" s="34"/>
    </row>
    <row r="30" spans="1:11" ht="15" customHeight="1">
      <c r="A30" s="48">
        <v>12</v>
      </c>
      <c r="B30" s="357"/>
      <c r="C30" s="80" t="s">
        <v>41</v>
      </c>
      <c r="D30" s="50" t="s">
        <v>385</v>
      </c>
      <c r="E30" s="51">
        <f>K22+M13</f>
        <v>419.39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436</v>
      </c>
      <c r="F31" s="377"/>
      <c r="G31" s="52">
        <f t="shared" si="1"/>
        <v>0</v>
      </c>
      <c r="H31" s="7"/>
      <c r="I31" s="34"/>
      <c r="J31" s="34"/>
      <c r="K31" s="34"/>
    </row>
    <row r="32" spans="1:11" ht="28.5">
      <c r="A32" s="48">
        <v>14</v>
      </c>
      <c r="B32" s="357"/>
      <c r="C32" s="80" t="s">
        <v>42</v>
      </c>
      <c r="D32" s="50" t="s">
        <v>385</v>
      </c>
      <c r="E32" s="51">
        <f>0.1*1.2*E34</f>
        <v>13.08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E30-E32-E43-13.69</f>
        <v>318.5</v>
      </c>
      <c r="F33" s="377"/>
      <c r="G33" s="52">
        <f t="shared" si="1"/>
        <v>0</v>
      </c>
      <c r="H33" s="7"/>
      <c r="I33" s="34"/>
      <c r="J33" s="34"/>
      <c r="K33" s="34"/>
    </row>
    <row r="34" spans="1:11" ht="14.25">
      <c r="A34" s="48">
        <v>16</v>
      </c>
      <c r="B34" s="357"/>
      <c r="C34" s="53" t="s">
        <v>271</v>
      </c>
      <c r="D34" s="48" t="s">
        <v>190</v>
      </c>
      <c r="E34" s="48">
        <f>M11</f>
        <v>109</v>
      </c>
      <c r="F34" s="377"/>
      <c r="G34" s="52">
        <f t="shared" si="1"/>
        <v>0</v>
      </c>
      <c r="H34" s="7"/>
      <c r="I34" s="34"/>
      <c r="J34" s="34"/>
      <c r="K34" s="98"/>
    </row>
    <row r="35" spans="1:15" s="30" customFormat="1" ht="28.5">
      <c r="A35" s="48">
        <v>17</v>
      </c>
      <c r="B35" s="357"/>
      <c r="C35" s="53" t="s">
        <v>309</v>
      </c>
      <c r="D35" s="48" t="s">
        <v>191</v>
      </c>
      <c r="E35" s="48">
        <v>2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8" ht="14.25">
      <c r="A36" s="48">
        <v>18</v>
      </c>
      <c r="B36" s="357"/>
      <c r="C36" s="53" t="s">
        <v>200</v>
      </c>
      <c r="D36" s="48" t="s">
        <v>191</v>
      </c>
      <c r="E36" s="48">
        <f>M8</f>
        <v>7</v>
      </c>
      <c r="F36" s="377"/>
      <c r="G36" s="52">
        <f t="shared" si="1"/>
        <v>0</v>
      </c>
      <c r="H36" s="7"/>
    </row>
    <row r="37" spans="1:14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7"/>
      <c r="N37" s="34"/>
    </row>
    <row r="38" spans="1:15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2.18</v>
      </c>
      <c r="F38" s="377"/>
      <c r="G38" s="52">
        <f t="shared" si="1"/>
        <v>0</v>
      </c>
      <c r="H38" s="7"/>
      <c r="L38" s="30"/>
      <c r="N38" s="30"/>
      <c r="O38" s="30"/>
    </row>
    <row r="39" spans="1:13" ht="14.25">
      <c r="A39" s="48">
        <v>21</v>
      </c>
      <c r="B39" s="357"/>
      <c r="C39" s="95" t="s">
        <v>282</v>
      </c>
      <c r="D39" s="48" t="s">
        <v>190</v>
      </c>
      <c r="E39" s="51">
        <f>E17</f>
        <v>7</v>
      </c>
      <c r="F39" s="377"/>
      <c r="G39" s="52">
        <f t="shared" si="1"/>
        <v>0</v>
      </c>
      <c r="H39" s="7"/>
      <c r="M39" s="34"/>
    </row>
    <row r="40" spans="1:8" ht="16.5">
      <c r="A40" s="48">
        <v>22</v>
      </c>
      <c r="B40" s="357"/>
      <c r="C40" s="95" t="s">
        <v>283</v>
      </c>
      <c r="D40" s="48" t="s">
        <v>386</v>
      </c>
      <c r="E40" s="51">
        <f>E18</f>
        <v>14</v>
      </c>
      <c r="F40" s="377"/>
      <c r="G40" s="52">
        <f t="shared" si="1"/>
        <v>0</v>
      </c>
      <c r="H40" s="7"/>
    </row>
    <row r="41" spans="1:15" s="30" customFormat="1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20.207999999999995</v>
      </c>
      <c r="F41" s="377"/>
      <c r="G41" s="52">
        <f t="shared" si="1"/>
        <v>0</v>
      </c>
      <c r="H41" s="34"/>
      <c r="I41" s="34"/>
      <c r="J41" s="29"/>
      <c r="N41" s="34"/>
      <c r="O41" s="29"/>
    </row>
    <row r="42" spans="1:14" ht="28.5">
      <c r="A42" s="48">
        <v>24</v>
      </c>
      <c r="B42" s="357"/>
      <c r="C42" s="77" t="s">
        <v>20</v>
      </c>
      <c r="D42" s="48" t="s">
        <v>195</v>
      </c>
      <c r="E42" s="82">
        <f>(E15+E16)*0.06*2.4</f>
        <v>30.31199999999999</v>
      </c>
      <c r="F42" s="377"/>
      <c r="G42" s="52">
        <f t="shared" si="1"/>
        <v>0</v>
      </c>
      <c r="H42" s="34"/>
      <c r="I42" s="34"/>
      <c r="N42" s="34"/>
    </row>
    <row r="43" spans="1:8" ht="28.5">
      <c r="A43" s="48">
        <v>25</v>
      </c>
      <c r="B43" s="357"/>
      <c r="C43" s="53" t="s">
        <v>21</v>
      </c>
      <c r="D43" s="83" t="s">
        <v>385</v>
      </c>
      <c r="E43" s="85">
        <v>74.12</v>
      </c>
      <c r="F43" s="377"/>
      <c r="G43" s="52">
        <f t="shared" si="1"/>
        <v>0</v>
      </c>
      <c r="H43" s="7"/>
    </row>
    <row r="44" spans="1:15" ht="14.25">
      <c r="A44" s="48">
        <v>26</v>
      </c>
      <c r="B44" s="357"/>
      <c r="C44" s="77" t="s">
        <v>194</v>
      </c>
      <c r="D44" s="74" t="s">
        <v>190</v>
      </c>
      <c r="E44" s="85">
        <f>E13+E14</f>
        <v>260</v>
      </c>
      <c r="F44" s="377"/>
      <c r="G44" s="52">
        <f t="shared" si="1"/>
        <v>0</v>
      </c>
      <c r="H44" s="7"/>
      <c r="N44" s="30"/>
      <c r="O44" s="30"/>
    </row>
    <row r="45" spans="1:15" s="2" customFormat="1" ht="14.25">
      <c r="A45" s="48">
        <v>27</v>
      </c>
      <c r="B45" s="357"/>
      <c r="C45" s="55" t="s">
        <v>201</v>
      </c>
      <c r="D45" s="50" t="s">
        <v>190</v>
      </c>
      <c r="E45" s="50">
        <f>M11</f>
        <v>109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30"/>
      <c r="O45" s="30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8" ht="15">
      <c r="E47" s="484" t="s">
        <v>206</v>
      </c>
      <c r="F47" s="484"/>
      <c r="G47" s="59">
        <f>G46*0.2</f>
        <v>0</v>
      </c>
      <c r="H47" s="7"/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G47" name="Range1_1"/>
    <protectedRange password="CF7A" sqref="A50:E59" name="Range1_4"/>
    <protectedRange password="CF7A" sqref="F47 E46:E48" name="Range1_1_1"/>
    <protectedRange password="CF7A" sqref="A9:A12 C9:E12 B9:B10 B12" name="Range1_2_1"/>
    <protectedRange password="CF7A" sqref="A6:E7" name="Range1_3_1"/>
  </protectedRanges>
  <mergeCells count="19">
    <mergeCell ref="C1:G1"/>
    <mergeCell ref="C3:G3"/>
    <mergeCell ref="A4:B4"/>
    <mergeCell ref="C4:G4"/>
    <mergeCell ref="E47:F47"/>
    <mergeCell ref="A10:A11"/>
    <mergeCell ref="B10:B11"/>
    <mergeCell ref="C10:C11"/>
    <mergeCell ref="D10:D11"/>
    <mergeCell ref="E10:E11"/>
    <mergeCell ref="C5:G5"/>
    <mergeCell ref="F10:F11"/>
    <mergeCell ref="A24:A27"/>
    <mergeCell ref="A20:A23"/>
    <mergeCell ref="A6:E7"/>
    <mergeCell ref="A8:G8"/>
    <mergeCell ref="A9:E9"/>
    <mergeCell ref="G10:G11"/>
    <mergeCell ref="F6:F7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28">
      <selection activeCell="A46" sqref="A46:IV46"/>
    </sheetView>
  </sheetViews>
  <sheetFormatPr defaultColWidth="9.140625" defaultRowHeight="12.75"/>
  <cols>
    <col min="1" max="1" width="7.28125" style="29" customWidth="1"/>
    <col min="2" max="2" width="18.421875" style="29" customWidth="1"/>
    <col min="3" max="3" width="62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576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13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19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195.43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63.45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235.2</v>
      </c>
      <c r="J11" s="48"/>
      <c r="K11" s="47"/>
      <c r="L11" s="48" t="s">
        <v>213</v>
      </c>
      <c r="M11" s="48">
        <v>192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71.05</v>
      </c>
      <c r="J12" s="48"/>
      <c r="K12" s="47"/>
      <c r="L12" s="48" t="s">
        <v>209</v>
      </c>
      <c r="M12" s="5">
        <v>1.7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384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228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M8*2.5*2+O8*4*2</f>
        <v>95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4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326.4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M8*2.5*M9+O8*4*O11</f>
        <v>57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M8*1+O10*1</f>
        <v>19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M8*2+O10*2</f>
        <v>38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42.14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395.59099999999995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28.256500000000003</v>
      </c>
      <c r="F22" s="377"/>
      <c r="G22" s="52">
        <f>E22*F22</f>
        <v>0</v>
      </c>
      <c r="H22" s="7"/>
      <c r="I22" s="76">
        <f>SUM(I9:I21)</f>
        <v>565.13</v>
      </c>
      <c r="J22" s="76">
        <f>SUM(J9:J21)</f>
        <v>0</v>
      </c>
      <c r="K22" s="48">
        <f>SUM(I22:J22)</f>
        <v>565.13</v>
      </c>
      <c r="L22" s="34"/>
    </row>
    <row r="23" spans="1:11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141.2825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57"/>
      <c r="C25" s="49" t="s">
        <v>199</v>
      </c>
      <c r="D25" s="50" t="s">
        <v>385</v>
      </c>
      <c r="E25" s="51">
        <f>0.6*M13</f>
        <v>136.79999999999998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11.4</v>
      </c>
      <c r="F26" s="377"/>
      <c r="G26" s="52">
        <f t="shared" si="1"/>
        <v>0</v>
      </c>
      <c r="H26" s="7"/>
      <c r="I26" s="34"/>
      <c r="J26" s="34"/>
      <c r="K26" s="34"/>
    </row>
    <row r="27" spans="1:11" ht="16.5">
      <c r="A27" s="498"/>
      <c r="B27" s="357"/>
      <c r="C27" s="49" t="s">
        <v>267</v>
      </c>
      <c r="D27" s="50" t="s">
        <v>385</v>
      </c>
      <c r="E27" s="51">
        <f>0.35*M13</f>
        <v>79.8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221.08249999999998</v>
      </c>
      <c r="F28" s="377"/>
      <c r="G28" s="52">
        <f t="shared" si="1"/>
        <v>0</v>
      </c>
      <c r="H28" s="7"/>
      <c r="I28" s="34"/>
      <c r="J28" s="34"/>
      <c r="K28" s="34"/>
    </row>
    <row r="29" spans="1:11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221.08249999999998</v>
      </c>
      <c r="F29" s="377"/>
      <c r="G29" s="52">
        <f t="shared" si="1"/>
        <v>0</v>
      </c>
      <c r="H29" s="7"/>
      <c r="I29" s="34"/>
      <c r="J29" s="34"/>
      <c r="K29" s="34"/>
    </row>
    <row r="30" spans="1:11" ht="15" customHeight="1">
      <c r="A30" s="48">
        <v>12</v>
      </c>
      <c r="B30" s="357"/>
      <c r="C30" s="80" t="s">
        <v>72</v>
      </c>
      <c r="D30" s="50" t="s">
        <v>385</v>
      </c>
      <c r="E30" s="51">
        <f>K22+M13</f>
        <v>793.13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768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57"/>
      <c r="C32" s="80" t="s">
        <v>42</v>
      </c>
      <c r="D32" s="50" t="s">
        <v>385</v>
      </c>
      <c r="E32" s="51">
        <f>0.1*1.1*E34+0.1*1.2*E35</f>
        <v>22.1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E30-E32-E44-6.64-12.3</f>
        <v>626.33</v>
      </c>
      <c r="F33" s="377"/>
      <c r="G33" s="52">
        <f t="shared" si="1"/>
        <v>0</v>
      </c>
      <c r="H33" s="7"/>
      <c r="I33" s="34"/>
      <c r="J33" s="34"/>
      <c r="K33" s="34"/>
    </row>
    <row r="34" spans="1:11" ht="14.25">
      <c r="A34" s="48">
        <v>16</v>
      </c>
      <c r="B34" s="357"/>
      <c r="C34" s="53" t="s">
        <v>291</v>
      </c>
      <c r="D34" s="48" t="s">
        <v>190</v>
      </c>
      <c r="E34" s="48">
        <v>94</v>
      </c>
      <c r="F34" s="377"/>
      <c r="G34" s="52">
        <f t="shared" si="1"/>
        <v>0</v>
      </c>
      <c r="H34" s="7"/>
      <c r="I34" s="34"/>
      <c r="J34" s="34"/>
      <c r="K34" s="98"/>
    </row>
    <row r="35" spans="1:15" s="30" customFormat="1" ht="14.25">
      <c r="A35" s="48">
        <v>17</v>
      </c>
      <c r="B35" s="357"/>
      <c r="C35" s="53" t="s">
        <v>271</v>
      </c>
      <c r="D35" s="48" t="s">
        <v>190</v>
      </c>
      <c r="E35" s="48">
        <v>98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15" s="30" customFormat="1" ht="28.5">
      <c r="A36" s="48">
        <v>18</v>
      </c>
      <c r="B36" s="357"/>
      <c r="C36" s="53" t="s">
        <v>309</v>
      </c>
      <c r="D36" s="48" t="s">
        <v>191</v>
      </c>
      <c r="E36" s="48">
        <v>4</v>
      </c>
      <c r="F36" s="377"/>
      <c r="G36" s="52">
        <f t="shared" si="1"/>
        <v>0</v>
      </c>
      <c r="H36" s="7"/>
      <c r="I36" s="29"/>
      <c r="J36" s="29"/>
      <c r="K36" s="29"/>
      <c r="L36" s="29"/>
      <c r="M36" s="29"/>
      <c r="N36" s="29"/>
      <c r="O36" s="29"/>
    </row>
    <row r="37" spans="1:8" ht="14.25">
      <c r="A37" s="48">
        <v>19</v>
      </c>
      <c r="B37" s="357"/>
      <c r="C37" s="53" t="s">
        <v>200</v>
      </c>
      <c r="D37" s="48" t="s">
        <v>191</v>
      </c>
      <c r="E37" s="48">
        <f>M8</f>
        <v>19</v>
      </c>
      <c r="F37" s="377"/>
      <c r="G37" s="52">
        <f t="shared" si="1"/>
        <v>0</v>
      </c>
      <c r="H37" s="7"/>
    </row>
    <row r="38" spans="1:14" ht="42.75">
      <c r="A38" s="48">
        <v>20</v>
      </c>
      <c r="B38" s="357"/>
      <c r="C38" s="53" t="s">
        <v>233</v>
      </c>
      <c r="D38" s="48" t="s">
        <v>191</v>
      </c>
      <c r="E38" s="51">
        <v>4</v>
      </c>
      <c r="F38" s="377"/>
      <c r="G38" s="52">
        <f t="shared" si="1"/>
        <v>0</v>
      </c>
      <c r="H38" s="7"/>
      <c r="N38" s="34"/>
    </row>
    <row r="39" spans="1:15" ht="14.25">
      <c r="A39" s="48">
        <v>21</v>
      </c>
      <c r="B39" s="357"/>
      <c r="C39" s="49" t="s">
        <v>192</v>
      </c>
      <c r="D39" s="48" t="s">
        <v>193</v>
      </c>
      <c r="E39" s="51">
        <f>40*M11/2000</f>
        <v>3.84</v>
      </c>
      <c r="F39" s="377"/>
      <c r="G39" s="52">
        <f t="shared" si="1"/>
        <v>0</v>
      </c>
      <c r="H39" s="7"/>
      <c r="L39" s="30"/>
      <c r="N39" s="30"/>
      <c r="O39" s="30"/>
    </row>
    <row r="40" spans="1:13" ht="14.25">
      <c r="A40" s="48">
        <v>22</v>
      </c>
      <c r="B40" s="357"/>
      <c r="C40" s="95" t="s">
        <v>282</v>
      </c>
      <c r="D40" s="48" t="s">
        <v>190</v>
      </c>
      <c r="E40" s="51">
        <f>E17</f>
        <v>19</v>
      </c>
      <c r="F40" s="377"/>
      <c r="G40" s="52">
        <f t="shared" si="1"/>
        <v>0</v>
      </c>
      <c r="H40" s="7"/>
      <c r="M40" s="34"/>
    </row>
    <row r="41" spans="1:8" ht="16.5">
      <c r="A41" s="48">
        <v>23</v>
      </c>
      <c r="B41" s="357"/>
      <c r="C41" s="95" t="s">
        <v>283</v>
      </c>
      <c r="D41" s="48" t="s">
        <v>386</v>
      </c>
      <c r="E41" s="51">
        <f>E18</f>
        <v>38</v>
      </c>
      <c r="F41" s="377"/>
      <c r="G41" s="52">
        <f t="shared" si="1"/>
        <v>0</v>
      </c>
      <c r="H41" s="7"/>
    </row>
    <row r="42" spans="1:15" s="30" customFormat="1" ht="28.5">
      <c r="A42" s="48">
        <v>24</v>
      </c>
      <c r="B42" s="357"/>
      <c r="C42" s="77" t="s">
        <v>293</v>
      </c>
      <c r="D42" s="48" t="s">
        <v>195</v>
      </c>
      <c r="E42" s="82">
        <f>(E15+E16)*96/1000</f>
        <v>36.8064</v>
      </c>
      <c r="F42" s="377"/>
      <c r="G42" s="52">
        <f t="shared" si="1"/>
        <v>0</v>
      </c>
      <c r="H42" s="34"/>
      <c r="I42" s="34"/>
      <c r="J42" s="29"/>
      <c r="N42" s="34"/>
      <c r="O42" s="29"/>
    </row>
    <row r="43" spans="1:14" ht="28.5">
      <c r="A43" s="48">
        <v>25</v>
      </c>
      <c r="B43" s="357"/>
      <c r="C43" s="77" t="s">
        <v>20</v>
      </c>
      <c r="D43" s="48" t="s">
        <v>195</v>
      </c>
      <c r="E43" s="82">
        <f>(E15+E16)*0.06*2.4</f>
        <v>55.209599999999995</v>
      </c>
      <c r="F43" s="377"/>
      <c r="G43" s="52">
        <f t="shared" si="1"/>
        <v>0</v>
      </c>
      <c r="H43" s="34"/>
      <c r="I43" s="34"/>
      <c r="N43" s="34"/>
    </row>
    <row r="44" spans="1:8" ht="28.5">
      <c r="A44" s="48">
        <v>26</v>
      </c>
      <c r="B44" s="357"/>
      <c r="C44" s="53" t="s">
        <v>21</v>
      </c>
      <c r="D44" s="83" t="s">
        <v>385</v>
      </c>
      <c r="E44" s="85">
        <v>125.76</v>
      </c>
      <c r="F44" s="377"/>
      <c r="G44" s="52">
        <f t="shared" si="1"/>
        <v>0</v>
      </c>
      <c r="H44" s="7"/>
    </row>
    <row r="45" spans="1:15" ht="14.25">
      <c r="A45" s="48">
        <v>27</v>
      </c>
      <c r="B45" s="357"/>
      <c r="C45" s="77" t="s">
        <v>194</v>
      </c>
      <c r="D45" s="74" t="s">
        <v>190</v>
      </c>
      <c r="E45" s="85">
        <f>E13+E14</f>
        <v>479</v>
      </c>
      <c r="F45" s="377"/>
      <c r="G45" s="52">
        <f t="shared" si="1"/>
        <v>0</v>
      </c>
      <c r="H45" s="7"/>
      <c r="N45" s="30"/>
      <c r="O45" s="30"/>
    </row>
    <row r="46" spans="1:15" s="2" customFormat="1" ht="14.25">
      <c r="A46" s="48">
        <v>28</v>
      </c>
      <c r="B46" s="357"/>
      <c r="C46" s="55" t="s">
        <v>201</v>
      </c>
      <c r="D46" s="50" t="s">
        <v>190</v>
      </c>
      <c r="E46" s="50">
        <f>M11</f>
        <v>192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30"/>
      <c r="O46" s="30"/>
    </row>
    <row r="47" spans="5:8" ht="15">
      <c r="E47" s="57"/>
      <c r="F47" s="58" t="s">
        <v>364</v>
      </c>
      <c r="G47" s="59">
        <f>SUM(G13:G46)</f>
        <v>0</v>
      </c>
      <c r="H47" s="7"/>
    </row>
    <row r="48" spans="5:8" ht="15">
      <c r="E48" s="484" t="s">
        <v>206</v>
      </c>
      <c r="F48" s="484"/>
      <c r="G48" s="59">
        <f>G47*0.2</f>
        <v>0</v>
      </c>
      <c r="H48" s="7"/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1:6" s="67" customFormat="1" ht="15">
      <c r="A55" s="65" t="s">
        <v>373</v>
      </c>
      <c r="B55" s="2"/>
      <c r="C55" s="65"/>
      <c r="D55" s="66" t="s">
        <v>374</v>
      </c>
      <c r="E55" s="24"/>
      <c r="F55" s="426"/>
    </row>
    <row r="56" spans="1:6" s="67" customFormat="1" ht="12.75">
      <c r="A56" s="11"/>
      <c r="B56" s="2"/>
      <c r="C56" s="11"/>
      <c r="D56" s="2"/>
      <c r="E56" s="24"/>
      <c r="F56" s="426"/>
    </row>
    <row r="57" spans="1:6" s="67" customFormat="1" ht="14.25">
      <c r="A57" s="11"/>
      <c r="B57" s="2"/>
      <c r="C57" s="68"/>
      <c r="D57" s="69" t="s">
        <v>375</v>
      </c>
      <c r="E57" s="24"/>
      <c r="F57" s="426"/>
    </row>
    <row r="58" spans="1:6" s="67" customFormat="1" ht="12.75">
      <c r="A58" s="11"/>
      <c r="B58" s="2"/>
      <c r="C58" s="11"/>
      <c r="D58" s="2"/>
      <c r="E58" s="70" t="s">
        <v>376</v>
      </c>
      <c r="F58" s="426"/>
    </row>
    <row r="59" spans="1:6" s="67" customFormat="1" ht="14.25">
      <c r="A59" s="11"/>
      <c r="B59" s="2"/>
      <c r="C59" s="68"/>
      <c r="D59" s="69" t="s">
        <v>377</v>
      </c>
      <c r="E59" s="24"/>
      <c r="F59" s="426"/>
    </row>
    <row r="60" spans="1:6" s="67" customFormat="1" ht="12.75">
      <c r="A60" s="11"/>
      <c r="B60" s="2"/>
      <c r="C60" s="11"/>
      <c r="D60" s="71" t="s">
        <v>378</v>
      </c>
      <c r="E60" s="24"/>
      <c r="F60" s="426"/>
    </row>
  </sheetData>
  <sheetProtection sheet="1" formatCells="0" formatColumns="0" formatRows="0" insertColumns="0" insertRows="0" insertHyperlinks="0" deleteColumns="0" deleteRows="0"/>
  <protectedRanges>
    <protectedRange password="CF7A" sqref="G48" name="Range1_1"/>
    <protectedRange password="CF7A" sqref="A6:E7" name="Range1_3_1"/>
    <protectedRange password="CF7A" sqref="A9:A12 C9:E12 B9:B10 B12" name="Range1_2_1"/>
    <protectedRange password="CF7A" sqref="A51:E60" name="Range1_4"/>
    <protectedRange password="CF7A" sqref="F48 E47:E49" name="Range1_1_1"/>
  </protectedRanges>
  <mergeCells count="19">
    <mergeCell ref="C1:G1"/>
    <mergeCell ref="C3:G3"/>
    <mergeCell ref="A4:B4"/>
    <mergeCell ref="C4:G4"/>
    <mergeCell ref="E48:F48"/>
    <mergeCell ref="E10:E11"/>
    <mergeCell ref="F10:F11"/>
    <mergeCell ref="G10:G11"/>
    <mergeCell ref="F6:F7"/>
    <mergeCell ref="A6:E7"/>
    <mergeCell ref="C5:G5"/>
    <mergeCell ref="A8:G8"/>
    <mergeCell ref="A9:E9"/>
    <mergeCell ref="A24:A27"/>
    <mergeCell ref="D10:D11"/>
    <mergeCell ref="A20:A23"/>
    <mergeCell ref="A10:A11"/>
    <mergeCell ref="B10:B11"/>
    <mergeCell ref="C10:C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4.5742187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577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14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112.86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36.45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54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108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48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</f>
        <v>24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1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86.4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M8*3*M9</f>
        <v>14.399999999999999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10.880000000000003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0.7*I21</f>
        <v>104.517</v>
      </c>
      <c r="F21" s="377"/>
      <c r="G21" s="52">
        <f>E21*F21</f>
        <v>0</v>
      </c>
      <c r="H21" s="7"/>
      <c r="I21" s="76">
        <f>SUM(I9:I20)</f>
        <v>149.31</v>
      </c>
      <c r="J21" s="76">
        <f>SUM(J9:J20)</f>
        <v>0</v>
      </c>
      <c r="K21" s="48">
        <f>SUM(I21:J21)</f>
        <v>149.31</v>
      </c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0.05*I21</f>
        <v>7.4655000000000005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0.25*I21</f>
        <v>37.3275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28.799999999999997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2.4000000000000004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16.799999999999997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54.1275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54.1275</v>
      </c>
      <c r="F29" s="377"/>
      <c r="G29" s="52">
        <f t="shared" si="1"/>
        <v>0</v>
      </c>
      <c r="H29" s="7"/>
      <c r="I29" s="34"/>
      <c r="J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K21+M13</f>
        <v>197.31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216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57"/>
      <c r="C32" s="80" t="s">
        <v>42</v>
      </c>
      <c r="D32" s="50" t="s">
        <v>385</v>
      </c>
      <c r="E32" s="51">
        <f>0.1*1.1*M11</f>
        <v>5.94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E30-E32-E43-3.82</f>
        <v>153.53</v>
      </c>
      <c r="F33" s="377"/>
      <c r="G33" s="52">
        <f t="shared" si="1"/>
        <v>0</v>
      </c>
      <c r="H33" s="7"/>
      <c r="I33" s="34"/>
      <c r="J33" s="34"/>
      <c r="K33" s="34"/>
    </row>
    <row r="34" spans="1:15" s="30" customFormat="1" ht="14.25">
      <c r="A34" s="48">
        <v>16</v>
      </c>
      <c r="B34" s="357"/>
      <c r="C34" s="53" t="s">
        <v>291</v>
      </c>
      <c r="D34" s="48" t="s">
        <v>190</v>
      </c>
      <c r="E34" s="48">
        <f>M11</f>
        <v>54</v>
      </c>
      <c r="F34" s="377"/>
      <c r="G34" s="52">
        <f t="shared" si="1"/>
        <v>0</v>
      </c>
      <c r="H34" s="7"/>
      <c r="I34" s="29"/>
      <c r="J34" s="29"/>
      <c r="K34" s="29"/>
      <c r="L34" s="29"/>
      <c r="M34" s="29"/>
      <c r="N34" s="29"/>
      <c r="O34" s="29"/>
    </row>
    <row r="35" spans="1:8" ht="28.5">
      <c r="A35" s="48">
        <v>17</v>
      </c>
      <c r="B35" s="357"/>
      <c r="C35" s="53" t="s">
        <v>309</v>
      </c>
      <c r="D35" s="48" t="s">
        <v>191</v>
      </c>
      <c r="E35" s="48">
        <f>M14</f>
        <v>1</v>
      </c>
      <c r="F35" s="377"/>
      <c r="G35" s="52">
        <f t="shared" si="1"/>
        <v>0</v>
      </c>
      <c r="H35" s="7"/>
    </row>
    <row r="36" spans="1:15" ht="14.25">
      <c r="A36" s="48">
        <v>18</v>
      </c>
      <c r="B36" s="357"/>
      <c r="C36" s="53" t="s">
        <v>200</v>
      </c>
      <c r="D36" s="48" t="s">
        <v>191</v>
      </c>
      <c r="E36" s="48">
        <f>M8</f>
        <v>4</v>
      </c>
      <c r="F36" s="377"/>
      <c r="G36" s="52">
        <f t="shared" si="1"/>
        <v>0</v>
      </c>
      <c r="H36" s="7"/>
      <c r="I36" s="30"/>
      <c r="J36" s="30"/>
      <c r="K36" s="30"/>
      <c r="L36" s="30"/>
      <c r="N36" s="30"/>
      <c r="O36" s="30"/>
    </row>
    <row r="37" spans="1:8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7"/>
    </row>
    <row r="38" spans="1:13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1.08</v>
      </c>
      <c r="F38" s="377"/>
      <c r="G38" s="52">
        <f t="shared" si="1"/>
        <v>0</v>
      </c>
      <c r="H38" s="7"/>
      <c r="M38" s="34"/>
    </row>
    <row r="39" spans="1:8" ht="14.25">
      <c r="A39" s="48">
        <v>21</v>
      </c>
      <c r="B39" s="357"/>
      <c r="C39" s="95" t="s">
        <v>282</v>
      </c>
      <c r="D39" s="48" t="s">
        <v>190</v>
      </c>
      <c r="E39" s="51">
        <f>E17</f>
        <v>4</v>
      </c>
      <c r="F39" s="377"/>
      <c r="G39" s="52">
        <f t="shared" si="1"/>
        <v>0</v>
      </c>
      <c r="H39" s="7"/>
    </row>
    <row r="40" spans="1:15" s="30" customFormat="1" ht="15" customHeight="1">
      <c r="A40" s="48">
        <v>22</v>
      </c>
      <c r="B40" s="357"/>
      <c r="C40" s="95" t="s">
        <v>283</v>
      </c>
      <c r="D40" s="48" t="s">
        <v>386</v>
      </c>
      <c r="E40" s="51">
        <f>E18</f>
        <v>8</v>
      </c>
      <c r="F40" s="377"/>
      <c r="G40" s="52">
        <f t="shared" si="1"/>
        <v>0</v>
      </c>
      <c r="H40" s="34"/>
      <c r="I40" s="34"/>
      <c r="J40" s="29"/>
      <c r="N40" s="34"/>
      <c r="O40" s="29"/>
    </row>
    <row r="41" spans="1:14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9.676800000000002</v>
      </c>
      <c r="F41" s="377"/>
      <c r="G41" s="52">
        <f t="shared" si="1"/>
        <v>0</v>
      </c>
      <c r="H41" s="34"/>
      <c r="I41" s="34"/>
      <c r="N41" s="34"/>
    </row>
    <row r="42" spans="1:8" ht="28.5">
      <c r="A42" s="48">
        <v>24</v>
      </c>
      <c r="B42" s="357"/>
      <c r="C42" s="77" t="s">
        <v>20</v>
      </c>
      <c r="D42" s="48" t="s">
        <v>195</v>
      </c>
      <c r="E42" s="82">
        <f>(E15+E16)*0.06*2.4</f>
        <v>14.5152</v>
      </c>
      <c r="F42" s="377"/>
      <c r="G42" s="52">
        <f t="shared" si="1"/>
        <v>0</v>
      </c>
      <c r="H42" s="7"/>
    </row>
    <row r="43" spans="1:15" ht="28.5">
      <c r="A43" s="48">
        <v>25</v>
      </c>
      <c r="B43" s="357"/>
      <c r="C43" s="53" t="s">
        <v>21</v>
      </c>
      <c r="D43" s="83" t="s">
        <v>385</v>
      </c>
      <c r="E43" s="85">
        <v>34.02</v>
      </c>
      <c r="F43" s="377"/>
      <c r="G43" s="52">
        <f t="shared" si="1"/>
        <v>0</v>
      </c>
      <c r="H43" s="7"/>
      <c r="N43" s="30"/>
      <c r="O43" s="30"/>
    </row>
    <row r="44" spans="1:15" s="2" customFormat="1" ht="14.25">
      <c r="A44" s="48">
        <v>26</v>
      </c>
      <c r="B44" s="357"/>
      <c r="C44" s="77" t="s">
        <v>194</v>
      </c>
      <c r="D44" s="74" t="s">
        <v>190</v>
      </c>
      <c r="E44" s="85">
        <f>E13</f>
        <v>108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0"/>
      <c r="O44" s="30"/>
    </row>
    <row r="45" spans="1:15" s="30" customFormat="1" ht="14.25">
      <c r="A45" s="48">
        <v>27</v>
      </c>
      <c r="B45" s="357"/>
      <c r="C45" s="55" t="s">
        <v>201</v>
      </c>
      <c r="D45" s="50" t="s">
        <v>190</v>
      </c>
      <c r="E45" s="50">
        <f>M11</f>
        <v>54</v>
      </c>
      <c r="F45" s="377"/>
      <c r="G45" s="52">
        <f t="shared" si="1"/>
        <v>0</v>
      </c>
      <c r="H45" s="7"/>
      <c r="I45" s="29"/>
      <c r="J45" s="29"/>
      <c r="K45" s="29"/>
      <c r="L45" s="29"/>
      <c r="N45" s="29"/>
      <c r="O45" s="29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7" ht="15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47:F47"/>
    <mergeCell ref="A24:A27"/>
    <mergeCell ref="A20:A23"/>
    <mergeCell ref="A6:E7"/>
    <mergeCell ref="A9:E9"/>
    <mergeCell ref="A8:G8"/>
    <mergeCell ref="A10:A11"/>
    <mergeCell ref="B10:B11"/>
  </mergeCells>
  <printOptions horizontalCentered="1"/>
  <pageMargins left="0.5905511811023623" right="0.2362204724409449" top="0.4330708661417323" bottom="0.5118110236220472" header="0.3937007874015748" footer="0.3937007874015748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90" zoomScaleNormal="90" zoomScalePageLayoutView="0" workbookViewId="0" topLeftCell="A1">
      <selection activeCell="A6" sqref="A6:E7"/>
    </sheetView>
  </sheetViews>
  <sheetFormatPr defaultColWidth="9.140625" defaultRowHeight="12.75"/>
  <cols>
    <col min="1" max="1" width="7.28125" style="29" customWidth="1"/>
    <col min="2" max="2" width="19.0039062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578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15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47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406.71</v>
      </c>
      <c r="J9" s="73">
        <v>378.22</v>
      </c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89.78</v>
      </c>
      <c r="J10" s="48">
        <v>74.68</v>
      </c>
      <c r="K10" s="47"/>
      <c r="L10" s="48" t="s">
        <v>207</v>
      </c>
      <c r="M10" s="48">
        <v>7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>
        <v>1148.16</v>
      </c>
      <c r="K11" s="47"/>
      <c r="L11" s="48" t="s">
        <v>213</v>
      </c>
      <c r="M11" s="48">
        <v>837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>
        <v>213.9</v>
      </c>
      <c r="K12" s="47"/>
      <c r="L12" s="48" t="s">
        <v>209</v>
      </c>
      <c r="M12" s="5">
        <v>1.85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1674</v>
      </c>
      <c r="F13" s="377"/>
      <c r="G13" s="52">
        <f aca="true" t="shared" si="0" ref="G13:G19">E13*F13</f>
        <v>0</v>
      </c>
      <c r="H13" s="7"/>
      <c r="I13" s="48"/>
      <c r="J13" s="48">
        <v>1032.86</v>
      </c>
      <c r="K13" s="47"/>
      <c r="L13" s="48" t="s">
        <v>208</v>
      </c>
      <c r="M13" s="48">
        <f>M8*M9*M10*2</f>
        <v>789.6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M8*5*2</f>
        <v>470</v>
      </c>
      <c r="F14" s="377"/>
      <c r="G14" s="52">
        <f t="shared" si="0"/>
        <v>0</v>
      </c>
      <c r="H14" s="7"/>
      <c r="I14" s="48"/>
      <c r="J14" s="48">
        <v>174.9</v>
      </c>
      <c r="K14" s="47"/>
      <c r="L14" s="48" t="s">
        <v>212</v>
      </c>
      <c r="M14" s="48">
        <v>18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1548.45</v>
      </c>
      <c r="F15" s="377"/>
      <c r="G15" s="52">
        <f t="shared" si="0"/>
        <v>0</v>
      </c>
      <c r="H15" s="7"/>
      <c r="I15" s="48"/>
      <c r="J15" s="48">
        <v>613.59</v>
      </c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M8*5*M9</f>
        <v>282</v>
      </c>
      <c r="F16" s="377"/>
      <c r="G16" s="52">
        <f t="shared" si="0"/>
        <v>0</v>
      </c>
      <c r="H16" s="7"/>
      <c r="I16" s="48"/>
      <c r="J16" s="48">
        <v>98.88</v>
      </c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47</v>
      </c>
      <c r="F17" s="377"/>
      <c r="G17" s="52">
        <f t="shared" si="0"/>
        <v>0</v>
      </c>
      <c r="H17" s="7"/>
      <c r="I17" s="76">
        <f>SUM(I9:I16)</f>
        <v>496.49</v>
      </c>
      <c r="J17" s="76">
        <f>SUM(J9:J16)</f>
        <v>3735.1900000000005</v>
      </c>
      <c r="K17" s="48">
        <f>SUM(I17:J17)</f>
        <v>4231.68</v>
      </c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94</v>
      </c>
      <c r="F18" s="377"/>
      <c r="G18" s="52">
        <f t="shared" si="0"/>
        <v>0</v>
      </c>
      <c r="H18" s="7"/>
      <c r="I18" s="34"/>
      <c r="J18" s="34"/>
      <c r="K18" s="34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192.44500000000002</v>
      </c>
      <c r="F19" s="377"/>
      <c r="G19" s="52">
        <f t="shared" si="0"/>
        <v>0</v>
      </c>
      <c r="H19" s="7"/>
      <c r="I19" s="34"/>
      <c r="J19" s="34"/>
      <c r="K19" s="34"/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0.7*I17</f>
        <v>347.543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0.05*I17</f>
        <v>24.8245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0.25*I17</f>
        <v>124.1225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34"/>
      <c r="J24" s="34"/>
      <c r="K24" s="34"/>
    </row>
    <row r="25" spans="1:12" ht="16.5">
      <c r="A25" s="497">
        <f>A24+1</f>
        <v>10</v>
      </c>
      <c r="B25" s="357"/>
      <c r="C25" s="49" t="s">
        <v>264</v>
      </c>
      <c r="D25" s="50" t="s">
        <v>385</v>
      </c>
      <c r="E25" s="51">
        <f>0.7*J17</f>
        <v>2614.6330000000003</v>
      </c>
      <c r="F25" s="377"/>
      <c r="G25" s="52">
        <f>E25*F25</f>
        <v>0</v>
      </c>
      <c r="H25" s="7"/>
      <c r="I25" s="34"/>
      <c r="J25" s="34"/>
      <c r="K25" s="34"/>
      <c r="L25" s="34"/>
    </row>
    <row r="26" spans="1:11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0.05*J17</f>
        <v>186.75950000000003</v>
      </c>
      <c r="F26" s="377"/>
      <c r="G26" s="52">
        <f>E26*F26</f>
        <v>0</v>
      </c>
      <c r="H26" s="7"/>
      <c r="I26" s="34"/>
      <c r="J26" s="34"/>
      <c r="K26" s="34"/>
    </row>
    <row r="27" spans="1:11" ht="15" customHeight="1">
      <c r="A27" s="498">
        <f>A26+1</f>
        <v>12</v>
      </c>
      <c r="B27" s="357"/>
      <c r="C27" s="49" t="s">
        <v>265</v>
      </c>
      <c r="D27" s="50" t="s">
        <v>385</v>
      </c>
      <c r="E27" s="51">
        <f>0.25*J17</f>
        <v>933.7975000000001</v>
      </c>
      <c r="F27" s="377"/>
      <c r="G27" s="52">
        <f>E27*F27</f>
        <v>0</v>
      </c>
      <c r="H27" s="7"/>
      <c r="I27" s="34"/>
      <c r="J27" s="34"/>
      <c r="K27" s="34"/>
    </row>
    <row r="28" spans="1:11" ht="15" customHeight="1">
      <c r="A28" s="496">
        <v>10</v>
      </c>
      <c r="B28" s="48"/>
      <c r="C28" s="53" t="s">
        <v>244</v>
      </c>
      <c r="D28" s="96"/>
      <c r="E28" s="96"/>
      <c r="F28" s="52"/>
      <c r="G28" s="97"/>
      <c r="H28" s="7"/>
      <c r="I28" s="34"/>
      <c r="J28" s="34"/>
      <c r="K28" s="34"/>
    </row>
    <row r="29" spans="1:11" ht="16.5">
      <c r="A29" s="497"/>
      <c r="B29" s="357"/>
      <c r="C29" s="49" t="s">
        <v>199</v>
      </c>
      <c r="D29" s="50" t="s">
        <v>385</v>
      </c>
      <c r="E29" s="51">
        <f>0.6*M13</f>
        <v>473.76</v>
      </c>
      <c r="F29" s="377"/>
      <c r="G29" s="52">
        <f aca="true" t="shared" si="1" ref="G29:G59">E29*F29</f>
        <v>0</v>
      </c>
      <c r="H29" s="7"/>
      <c r="I29" s="34"/>
      <c r="J29" s="34"/>
      <c r="K29" s="34"/>
    </row>
    <row r="30" spans="1:11" ht="16.5">
      <c r="A30" s="497"/>
      <c r="B30" s="357"/>
      <c r="C30" s="53" t="s">
        <v>266</v>
      </c>
      <c r="D30" s="50" t="s">
        <v>385</v>
      </c>
      <c r="E30" s="51">
        <f>0.05*M13</f>
        <v>39.480000000000004</v>
      </c>
      <c r="F30" s="377"/>
      <c r="G30" s="52">
        <f t="shared" si="1"/>
        <v>0</v>
      </c>
      <c r="H30" s="7"/>
      <c r="I30" s="34"/>
      <c r="J30" s="34"/>
      <c r="K30" s="34"/>
    </row>
    <row r="31" spans="1:11" ht="15" customHeight="1">
      <c r="A31" s="498"/>
      <c r="B31" s="357"/>
      <c r="C31" s="49" t="s">
        <v>267</v>
      </c>
      <c r="D31" s="50" t="s">
        <v>385</v>
      </c>
      <c r="E31" s="51">
        <f>0.35*M13</f>
        <v>276.36</v>
      </c>
      <c r="F31" s="377"/>
      <c r="G31" s="52">
        <f t="shared" si="1"/>
        <v>0</v>
      </c>
      <c r="H31" s="7"/>
      <c r="I31" s="34"/>
      <c r="J31" s="34"/>
      <c r="K31" s="34"/>
    </row>
    <row r="32" spans="1:11" ht="28.5">
      <c r="A32" s="48">
        <v>11</v>
      </c>
      <c r="B32" s="357"/>
      <c r="C32" s="80" t="s">
        <v>196</v>
      </c>
      <c r="D32" s="50" t="s">
        <v>385</v>
      </c>
      <c r="E32" s="51">
        <f>E23+E31+E27</f>
        <v>1334.2800000000002</v>
      </c>
      <c r="F32" s="377"/>
      <c r="G32" s="52">
        <f t="shared" si="1"/>
        <v>0</v>
      </c>
      <c r="H32" s="7"/>
      <c r="I32" s="34"/>
      <c r="J32" s="34"/>
      <c r="K32" s="34"/>
    </row>
    <row r="33" spans="1:11" ht="16.5">
      <c r="A33" s="48">
        <v>12</v>
      </c>
      <c r="B33" s="357"/>
      <c r="C33" s="55" t="s">
        <v>197</v>
      </c>
      <c r="D33" s="50" t="s">
        <v>385</v>
      </c>
      <c r="E33" s="81">
        <f>E32</f>
        <v>1334.2800000000002</v>
      </c>
      <c r="F33" s="377"/>
      <c r="G33" s="52">
        <f t="shared" si="1"/>
        <v>0</v>
      </c>
      <c r="H33" s="7"/>
      <c r="I33" s="34"/>
      <c r="J33" s="34"/>
      <c r="K33" s="34"/>
    </row>
    <row r="34" spans="1:8" ht="28.5">
      <c r="A34" s="48">
        <v>13</v>
      </c>
      <c r="B34" s="357"/>
      <c r="C34" s="80" t="s">
        <v>41</v>
      </c>
      <c r="D34" s="50" t="s">
        <v>385</v>
      </c>
      <c r="E34" s="51">
        <f>K17+M13</f>
        <v>5021.280000000001</v>
      </c>
      <c r="F34" s="377"/>
      <c r="G34" s="52">
        <f t="shared" si="1"/>
        <v>0</v>
      </c>
      <c r="H34" s="7"/>
    </row>
    <row r="35" spans="1:8" ht="16.5">
      <c r="A35" s="48">
        <v>14</v>
      </c>
      <c r="B35" s="357"/>
      <c r="C35" s="49" t="s">
        <v>387</v>
      </c>
      <c r="D35" s="48" t="s">
        <v>386</v>
      </c>
      <c r="E35" s="48">
        <f>M11*4</f>
        <v>3348</v>
      </c>
      <c r="F35" s="377"/>
      <c r="G35" s="52">
        <f t="shared" si="1"/>
        <v>0</v>
      </c>
      <c r="H35" s="7"/>
    </row>
    <row r="36" spans="1:11" ht="15" customHeight="1">
      <c r="A36" s="48">
        <v>15</v>
      </c>
      <c r="B36" s="357"/>
      <c r="C36" s="80" t="s">
        <v>42</v>
      </c>
      <c r="D36" s="50" t="s">
        <v>385</v>
      </c>
      <c r="E36" s="51">
        <f>0.1*1.1*E38+0.1*1.2*E39+0.1*1.3*E40+0.1*1.4*E41+0.1*1.5*E42</f>
        <v>109.5</v>
      </c>
      <c r="F36" s="377"/>
      <c r="G36" s="52">
        <f t="shared" si="1"/>
        <v>0</v>
      </c>
      <c r="H36" s="7"/>
      <c r="I36" s="30"/>
      <c r="J36" s="30"/>
      <c r="K36" s="30"/>
    </row>
    <row r="37" spans="1:8" ht="42.75">
      <c r="A37" s="48">
        <v>16</v>
      </c>
      <c r="B37" s="357"/>
      <c r="C37" s="53" t="s">
        <v>43</v>
      </c>
      <c r="D37" s="50" t="s">
        <v>385</v>
      </c>
      <c r="E37" s="51">
        <f>E34-E36-E54-E56-E57-9.4-12.94-54.16-59.91-43.46</f>
        <v>4045.880000000002</v>
      </c>
      <c r="F37" s="377"/>
      <c r="G37" s="52">
        <f t="shared" si="1"/>
        <v>0</v>
      </c>
      <c r="H37" s="7"/>
    </row>
    <row r="38" spans="1:15" s="30" customFormat="1" ht="14.25">
      <c r="A38" s="48">
        <v>17</v>
      </c>
      <c r="B38" s="357"/>
      <c r="C38" s="53" t="s">
        <v>291</v>
      </c>
      <c r="D38" s="48" t="s">
        <v>190</v>
      </c>
      <c r="E38" s="48">
        <v>133</v>
      </c>
      <c r="F38" s="377"/>
      <c r="G38" s="52">
        <f t="shared" si="1"/>
        <v>0</v>
      </c>
      <c r="H38" s="7"/>
      <c r="I38" s="29"/>
      <c r="J38" s="29"/>
      <c r="K38" s="29"/>
      <c r="L38" s="29"/>
      <c r="M38" s="29"/>
      <c r="N38" s="29"/>
      <c r="O38" s="29"/>
    </row>
    <row r="39" spans="1:8" ht="14.25">
      <c r="A39" s="48">
        <v>18</v>
      </c>
      <c r="B39" s="357"/>
      <c r="C39" s="53" t="s">
        <v>271</v>
      </c>
      <c r="D39" s="48" t="s">
        <v>190</v>
      </c>
      <c r="E39" s="48">
        <v>103</v>
      </c>
      <c r="F39" s="377"/>
      <c r="G39" s="52">
        <f t="shared" si="1"/>
        <v>0</v>
      </c>
      <c r="H39" s="7"/>
    </row>
    <row r="40" spans="1:14" ht="14.25">
      <c r="A40" s="48">
        <v>19</v>
      </c>
      <c r="B40" s="357"/>
      <c r="C40" s="53" t="s">
        <v>272</v>
      </c>
      <c r="D40" s="48" t="s">
        <v>190</v>
      </c>
      <c r="E40" s="48">
        <v>276</v>
      </c>
      <c r="F40" s="377"/>
      <c r="G40" s="52">
        <f t="shared" si="1"/>
        <v>0</v>
      </c>
      <c r="H40" s="7"/>
      <c r="N40" s="34"/>
    </row>
    <row r="41" spans="1:14" ht="14.25">
      <c r="A41" s="48">
        <v>20</v>
      </c>
      <c r="B41" s="357"/>
      <c r="C41" s="53" t="s">
        <v>273</v>
      </c>
      <c r="D41" s="48" t="s">
        <v>190</v>
      </c>
      <c r="E41" s="48">
        <v>212</v>
      </c>
      <c r="F41" s="377"/>
      <c r="G41" s="52">
        <f t="shared" si="1"/>
        <v>0</v>
      </c>
      <c r="H41" s="7"/>
      <c r="N41" s="34"/>
    </row>
    <row r="42" spans="1:14" ht="15" customHeight="1">
      <c r="A42" s="48">
        <v>21</v>
      </c>
      <c r="B42" s="357"/>
      <c r="C42" s="53" t="s">
        <v>25</v>
      </c>
      <c r="D42" s="48" t="s">
        <v>190</v>
      </c>
      <c r="E42" s="48">
        <v>113</v>
      </c>
      <c r="F42" s="377"/>
      <c r="G42" s="52">
        <f>E42*F42</f>
        <v>0</v>
      </c>
      <c r="N42" s="34"/>
    </row>
    <row r="43" spans="1:12" ht="28.5">
      <c r="A43" s="48">
        <v>22</v>
      </c>
      <c r="B43" s="357"/>
      <c r="C43" s="53" t="s">
        <v>309</v>
      </c>
      <c r="D43" s="48" t="s">
        <v>191</v>
      </c>
      <c r="E43" s="48">
        <v>3</v>
      </c>
      <c r="F43" s="377"/>
      <c r="G43" s="52">
        <f t="shared" si="1"/>
        <v>0</v>
      </c>
      <c r="H43" s="7"/>
      <c r="L43" s="30"/>
    </row>
    <row r="44" spans="1:15" ht="28.5">
      <c r="A44" s="48">
        <v>23</v>
      </c>
      <c r="B44" s="357"/>
      <c r="C44" s="53" t="s">
        <v>313</v>
      </c>
      <c r="D44" s="48" t="s">
        <v>191</v>
      </c>
      <c r="E44" s="48">
        <v>12</v>
      </c>
      <c r="F44" s="377"/>
      <c r="G44" s="52">
        <f>E44*F44</f>
        <v>0</v>
      </c>
      <c r="H44" s="7"/>
      <c r="L44" s="30"/>
      <c r="N44" s="30"/>
      <c r="O44" s="30"/>
    </row>
    <row r="45" spans="1:14" ht="28.5">
      <c r="A45" s="48">
        <v>24</v>
      </c>
      <c r="B45" s="357"/>
      <c r="C45" s="53" t="s">
        <v>310</v>
      </c>
      <c r="D45" s="48" t="s">
        <v>191</v>
      </c>
      <c r="E45" s="48">
        <v>3</v>
      </c>
      <c r="F45" s="377"/>
      <c r="G45" s="52">
        <f>E45*F45</f>
        <v>0</v>
      </c>
      <c r="H45" s="7"/>
      <c r="N45" s="34"/>
    </row>
    <row r="46" spans="1:14" ht="14.25">
      <c r="A46" s="48">
        <v>25</v>
      </c>
      <c r="B46" s="357"/>
      <c r="C46" s="53" t="s">
        <v>200</v>
      </c>
      <c r="D46" s="48" t="s">
        <v>191</v>
      </c>
      <c r="E46" s="48">
        <f>M8</f>
        <v>47</v>
      </c>
      <c r="F46" s="377"/>
      <c r="G46" s="52">
        <f t="shared" si="1"/>
        <v>0</v>
      </c>
      <c r="H46" s="7"/>
      <c r="I46" s="34"/>
      <c r="K46" s="30"/>
      <c r="N46" s="34"/>
    </row>
    <row r="47" spans="1:9" ht="42.75">
      <c r="A47" s="48">
        <v>26</v>
      </c>
      <c r="B47" s="357"/>
      <c r="C47" s="53" t="s">
        <v>233</v>
      </c>
      <c r="D47" s="48" t="s">
        <v>191</v>
      </c>
      <c r="E47" s="51">
        <v>23</v>
      </c>
      <c r="F47" s="377"/>
      <c r="G47" s="52">
        <f t="shared" si="1"/>
        <v>0</v>
      </c>
      <c r="H47" s="7"/>
      <c r="I47" s="34"/>
    </row>
    <row r="48" spans="1:13" ht="14.25">
      <c r="A48" s="48">
        <v>27</v>
      </c>
      <c r="B48" s="357"/>
      <c r="C48" s="49" t="s">
        <v>192</v>
      </c>
      <c r="D48" s="48" t="s">
        <v>193</v>
      </c>
      <c r="E48" s="51">
        <f>40*M11/2000</f>
        <v>16.74</v>
      </c>
      <c r="F48" s="377"/>
      <c r="G48" s="52">
        <f t="shared" si="1"/>
        <v>0</v>
      </c>
      <c r="H48" s="7"/>
      <c r="M48" s="34"/>
    </row>
    <row r="49" spans="1:8" ht="14.25">
      <c r="A49" s="48">
        <v>28</v>
      </c>
      <c r="B49" s="357"/>
      <c r="C49" s="95" t="s">
        <v>282</v>
      </c>
      <c r="D49" s="48" t="s">
        <v>190</v>
      </c>
      <c r="E49" s="51">
        <f>E17</f>
        <v>47</v>
      </c>
      <c r="F49" s="377"/>
      <c r="G49" s="52">
        <f t="shared" si="1"/>
        <v>0</v>
      </c>
      <c r="H49" s="7"/>
    </row>
    <row r="50" spans="1:15" s="30" customFormat="1" ht="15" customHeight="1">
      <c r="A50" s="48">
        <v>29</v>
      </c>
      <c r="B50" s="357"/>
      <c r="C50" s="95" t="s">
        <v>283</v>
      </c>
      <c r="D50" s="48" t="s">
        <v>386</v>
      </c>
      <c r="E50" s="51">
        <f>E18</f>
        <v>94</v>
      </c>
      <c r="F50" s="377"/>
      <c r="G50" s="52">
        <f t="shared" si="1"/>
        <v>0</v>
      </c>
      <c r="H50" s="34"/>
      <c r="I50" s="29"/>
      <c r="J50" s="29"/>
      <c r="K50" s="29"/>
      <c r="N50" s="34"/>
      <c r="O50" s="29"/>
    </row>
    <row r="51" spans="1:17" s="2" customFormat="1" ht="28.5">
      <c r="A51" s="48">
        <v>30</v>
      </c>
      <c r="B51" s="357"/>
      <c r="C51" s="77" t="s">
        <v>293</v>
      </c>
      <c r="D51" s="48" t="s">
        <v>195</v>
      </c>
      <c r="E51" s="82">
        <f>(E15+E16+E18)*96/1000</f>
        <v>184.74720000000002</v>
      </c>
      <c r="F51" s="377"/>
      <c r="G51" s="52">
        <f t="shared" si="1"/>
        <v>0</v>
      </c>
      <c r="H51" s="7"/>
      <c r="I51" s="29"/>
      <c r="J51" s="29"/>
      <c r="K51" s="29"/>
      <c r="L51" s="29"/>
      <c r="M51" s="29"/>
      <c r="N51" s="34"/>
      <c r="O51" s="29"/>
      <c r="P51" s="29"/>
      <c r="Q51" s="29"/>
    </row>
    <row r="52" spans="1:17" s="2" customFormat="1" ht="28.5">
      <c r="A52" s="48">
        <v>31</v>
      </c>
      <c r="B52" s="357"/>
      <c r="C52" s="77" t="s">
        <v>294</v>
      </c>
      <c r="D52" s="48" t="s">
        <v>195</v>
      </c>
      <c r="E52" s="51">
        <f>95.39+39.05</f>
        <v>134.44</v>
      </c>
      <c r="F52" s="377"/>
      <c r="G52" s="52">
        <f t="shared" si="1"/>
        <v>0</v>
      </c>
      <c r="H52" s="7"/>
      <c r="I52" s="29"/>
      <c r="J52" s="29"/>
      <c r="K52" s="29"/>
      <c r="L52" s="29"/>
      <c r="M52" s="29"/>
      <c r="N52" s="29"/>
      <c r="O52" s="29"/>
      <c r="P52" s="29"/>
      <c r="Q52" s="29"/>
    </row>
    <row r="53" spans="1:9" ht="28.5">
      <c r="A53" s="48">
        <v>32</v>
      </c>
      <c r="B53" s="357"/>
      <c r="C53" s="53" t="s">
        <v>30</v>
      </c>
      <c r="D53" s="83" t="s">
        <v>195</v>
      </c>
      <c r="E53" s="51">
        <v>286.16</v>
      </c>
      <c r="F53" s="377"/>
      <c r="G53" s="52">
        <f t="shared" si="1"/>
        <v>0</v>
      </c>
      <c r="H53" s="7"/>
      <c r="I53" s="34"/>
    </row>
    <row r="54" spans="1:17" s="2" customFormat="1" ht="28.5">
      <c r="A54" s="48">
        <v>33</v>
      </c>
      <c r="B54" s="357"/>
      <c r="C54" s="53" t="s">
        <v>31</v>
      </c>
      <c r="D54" s="83" t="s">
        <v>385</v>
      </c>
      <c r="E54" s="85">
        <v>363.07</v>
      </c>
      <c r="F54" s="377"/>
      <c r="G54" s="52">
        <f t="shared" si="1"/>
        <v>0</v>
      </c>
      <c r="H54" s="7"/>
      <c r="I54" s="29"/>
      <c r="J54" s="29"/>
      <c r="K54" s="29"/>
      <c r="L54" s="29"/>
      <c r="M54" s="29"/>
      <c r="N54" s="29"/>
      <c r="O54" s="29"/>
      <c r="P54" s="29"/>
      <c r="Q54" s="29"/>
    </row>
    <row r="55" spans="1:8" ht="28.5">
      <c r="A55" s="48">
        <v>34</v>
      </c>
      <c r="B55" s="357"/>
      <c r="C55" s="53" t="s">
        <v>295</v>
      </c>
      <c r="D55" s="83" t="s">
        <v>195</v>
      </c>
      <c r="E55" s="51">
        <f>58.58+57.72</f>
        <v>116.3</v>
      </c>
      <c r="F55" s="377"/>
      <c r="G55" s="52">
        <f t="shared" si="1"/>
        <v>0</v>
      </c>
      <c r="H55" s="7"/>
    </row>
    <row r="56" spans="1:8" ht="28.5">
      <c r="A56" s="48">
        <v>35</v>
      </c>
      <c r="B56" s="357"/>
      <c r="C56" s="53" t="s">
        <v>298</v>
      </c>
      <c r="D56" s="83" t="s">
        <v>385</v>
      </c>
      <c r="E56" s="85">
        <v>155.03</v>
      </c>
      <c r="F56" s="377"/>
      <c r="G56" s="52">
        <f t="shared" si="1"/>
        <v>0</v>
      </c>
      <c r="H56" s="7"/>
    </row>
    <row r="57" spans="1:8" ht="28.5">
      <c r="A57" s="48">
        <v>36</v>
      </c>
      <c r="B57" s="357"/>
      <c r="C57" s="53" t="s">
        <v>21</v>
      </c>
      <c r="D57" s="83" t="s">
        <v>385</v>
      </c>
      <c r="E57" s="85">
        <v>167.93</v>
      </c>
      <c r="F57" s="377"/>
      <c r="G57" s="52">
        <f t="shared" si="1"/>
        <v>0</v>
      </c>
      <c r="H57" s="7"/>
    </row>
    <row r="58" spans="1:15" s="2" customFormat="1" ht="14.25">
      <c r="A58" s="48">
        <v>37</v>
      </c>
      <c r="B58" s="357"/>
      <c r="C58" s="77" t="s">
        <v>194</v>
      </c>
      <c r="D58" s="74" t="s">
        <v>190</v>
      </c>
      <c r="E58" s="85">
        <f>E13</f>
        <v>1674</v>
      </c>
      <c r="F58" s="377"/>
      <c r="G58" s="52">
        <f t="shared" si="1"/>
        <v>0</v>
      </c>
      <c r="H58" s="7"/>
      <c r="I58" s="29"/>
      <c r="J58" s="29"/>
      <c r="K58" s="29"/>
      <c r="L58" s="29"/>
      <c r="M58" s="29"/>
      <c r="N58" s="29"/>
      <c r="O58" s="29"/>
    </row>
    <row r="59" spans="1:15" s="30" customFormat="1" ht="14.25">
      <c r="A59" s="48">
        <v>38</v>
      </c>
      <c r="B59" s="357"/>
      <c r="C59" s="55" t="s">
        <v>201</v>
      </c>
      <c r="D59" s="50" t="s">
        <v>190</v>
      </c>
      <c r="E59" s="50">
        <f>M11</f>
        <v>837</v>
      </c>
      <c r="F59" s="377"/>
      <c r="G59" s="52">
        <f t="shared" si="1"/>
        <v>0</v>
      </c>
      <c r="H59" s="7"/>
      <c r="I59" s="29"/>
      <c r="J59" s="29"/>
      <c r="K59" s="29"/>
      <c r="L59" s="29"/>
      <c r="N59" s="29"/>
      <c r="O59" s="29"/>
    </row>
    <row r="60" spans="5:8" ht="15">
      <c r="E60" s="57"/>
      <c r="F60" s="58" t="s">
        <v>364</v>
      </c>
      <c r="G60" s="59">
        <f>SUM(G13:G59)</f>
        <v>0</v>
      </c>
      <c r="H60" s="7"/>
    </row>
    <row r="61" spans="5:7" ht="15">
      <c r="E61" s="484" t="s">
        <v>206</v>
      </c>
      <c r="F61" s="484"/>
      <c r="G61" s="59">
        <f>G60*0.2</f>
        <v>0</v>
      </c>
    </row>
    <row r="62" spans="3:7" ht="15">
      <c r="C62" s="26"/>
      <c r="E62" s="57"/>
      <c r="F62" s="60" t="s">
        <v>365</v>
      </c>
      <c r="G62" s="59">
        <f>SUM(G60:G61)</f>
        <v>0</v>
      </c>
    </row>
    <row r="63" spans="3:5" ht="14.25">
      <c r="C63" s="61"/>
      <c r="D63" s="62"/>
      <c r="E63" s="62"/>
    </row>
    <row r="64" spans="2:16" ht="18.75">
      <c r="B64" s="63" t="s">
        <v>370</v>
      </c>
      <c r="C64" s="64" t="s">
        <v>371</v>
      </c>
      <c r="D64" s="62"/>
      <c r="E64" s="62"/>
      <c r="H64" s="28"/>
      <c r="I64" s="28"/>
      <c r="J64" s="28"/>
      <c r="K64" s="28"/>
      <c r="L64" s="28"/>
      <c r="M64" s="28"/>
      <c r="N64" s="28"/>
      <c r="O64" s="28"/>
      <c r="P64" s="28"/>
    </row>
    <row r="65" spans="8:16" ht="14.25">
      <c r="H65" s="28"/>
      <c r="I65" s="28"/>
      <c r="J65" s="28"/>
      <c r="K65" s="28"/>
      <c r="L65" s="28"/>
      <c r="M65" s="28"/>
      <c r="N65" s="28"/>
      <c r="O65" s="28"/>
      <c r="P65" s="28"/>
    </row>
    <row r="66" spans="8:16" ht="15" customHeight="1">
      <c r="H66" s="28"/>
      <c r="I66" s="28"/>
      <c r="J66" s="28"/>
      <c r="K66" s="28"/>
      <c r="L66" s="28"/>
      <c r="M66" s="28"/>
      <c r="N66" s="28"/>
      <c r="O66" s="28"/>
      <c r="P66" s="28"/>
    </row>
    <row r="67" spans="8:16" ht="14.25">
      <c r="H67" s="28"/>
      <c r="I67" s="28"/>
      <c r="J67" s="28"/>
      <c r="K67" s="28"/>
      <c r="L67" s="28"/>
      <c r="M67" s="28"/>
      <c r="N67" s="28"/>
      <c r="O67" s="28"/>
      <c r="P67" s="28"/>
    </row>
    <row r="68" spans="1:6" s="67" customFormat="1" ht="15">
      <c r="A68" s="65" t="s">
        <v>373</v>
      </c>
      <c r="B68" s="2"/>
      <c r="C68" s="65"/>
      <c r="D68" s="66" t="s">
        <v>374</v>
      </c>
      <c r="E68" s="24"/>
      <c r="F68" s="426"/>
    </row>
    <row r="69" spans="1:6" s="67" customFormat="1" ht="12.75">
      <c r="A69" s="11"/>
      <c r="B69" s="2"/>
      <c r="C69" s="11"/>
      <c r="D69" s="2"/>
      <c r="E69" s="24"/>
      <c r="F69" s="426"/>
    </row>
    <row r="70" spans="1:6" s="67" customFormat="1" ht="14.25">
      <c r="A70" s="11"/>
      <c r="B70" s="2"/>
      <c r="C70" s="68"/>
      <c r="D70" s="69" t="s">
        <v>375</v>
      </c>
      <c r="E70" s="24"/>
      <c r="F70" s="426"/>
    </row>
    <row r="71" spans="1:6" s="67" customFormat="1" ht="12.75">
      <c r="A71" s="11"/>
      <c r="B71" s="2"/>
      <c r="C71" s="11"/>
      <c r="D71" s="2"/>
      <c r="E71" s="70" t="s">
        <v>376</v>
      </c>
      <c r="F71" s="426"/>
    </row>
    <row r="72" spans="1:6" s="67" customFormat="1" ht="14.25">
      <c r="A72" s="11"/>
      <c r="B72" s="2"/>
      <c r="C72" s="68"/>
      <c r="D72" s="69" t="s">
        <v>377</v>
      </c>
      <c r="E72" s="24"/>
      <c r="F72" s="426"/>
    </row>
    <row r="73" spans="1:6" s="67" customFormat="1" ht="12.75">
      <c r="A73" s="11"/>
      <c r="B73" s="2"/>
      <c r="C73" s="11"/>
      <c r="D73" s="71" t="s">
        <v>378</v>
      </c>
      <c r="E73" s="24"/>
      <c r="F73" s="426"/>
    </row>
  </sheetData>
  <sheetProtection sheet="1" formatCells="0" formatColumns="0" formatRows="0" insertColumns="0" insertRows="0" insertHyperlinks="0" deleteColumns="0" deleteRows="0"/>
  <protectedRanges>
    <protectedRange password="CF7A" sqref="A64:E73" name="Range1"/>
    <protectedRange password="CF7A" sqref="A9:A12 C9:E12 B9:B10 B12" name="Range1_2"/>
    <protectedRange password="CF7A" sqref="F61 E60:E62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D10:D11"/>
    <mergeCell ref="E10:E11"/>
    <mergeCell ref="F10:F11"/>
    <mergeCell ref="G10:G11"/>
    <mergeCell ref="F6:F7"/>
    <mergeCell ref="E61:F61"/>
    <mergeCell ref="A28:A31"/>
    <mergeCell ref="A20:A23"/>
    <mergeCell ref="A6:E7"/>
    <mergeCell ref="A9:E9"/>
    <mergeCell ref="A8:G8"/>
    <mergeCell ref="A24:A27"/>
    <mergeCell ref="A10:A11"/>
    <mergeCell ref="B10:B11"/>
    <mergeCell ref="C10:C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7.28125" style="29" customWidth="1"/>
    <col min="2" max="2" width="18.2812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599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16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ht="15">
      <c r="A8" s="505" t="s">
        <v>214</v>
      </c>
      <c r="B8" s="505"/>
      <c r="C8" s="504" t="s">
        <v>380</v>
      </c>
      <c r="D8" s="504"/>
      <c r="E8" s="504"/>
      <c r="F8" s="504"/>
      <c r="G8" s="504"/>
      <c r="H8" s="27"/>
      <c r="I8" s="27"/>
      <c r="J8" s="27"/>
      <c r="K8" s="27"/>
      <c r="L8" s="28"/>
      <c r="M8" s="28"/>
      <c r="N8" s="28"/>
      <c r="O8" s="28"/>
      <c r="P8" s="28"/>
    </row>
    <row r="9" spans="1:11" ht="15">
      <c r="A9" s="1"/>
      <c r="B9" s="1"/>
      <c r="C9" s="26"/>
      <c r="D9" s="26"/>
      <c r="E9" s="26"/>
      <c r="F9" s="26"/>
      <c r="G9" s="26"/>
      <c r="H9" s="26"/>
      <c r="I9" s="16"/>
      <c r="J9" s="16"/>
      <c r="K9" s="72"/>
    </row>
    <row r="10" spans="1:15" s="30" customFormat="1" ht="30" customHeight="1" thickBot="1">
      <c r="A10" s="499"/>
      <c r="B10" s="499"/>
      <c r="C10" s="499"/>
      <c r="D10" s="499"/>
      <c r="E10" s="499"/>
      <c r="F10" s="499"/>
      <c r="G10" s="499"/>
      <c r="H10" s="36"/>
      <c r="I10" s="12" t="s">
        <v>204</v>
      </c>
      <c r="J10" s="12" t="s">
        <v>205</v>
      </c>
      <c r="K10" s="13"/>
      <c r="L10" s="48" t="s">
        <v>211</v>
      </c>
      <c r="M10" s="48">
        <v>7</v>
      </c>
      <c r="N10" s="48" t="s">
        <v>286</v>
      </c>
      <c r="O10" s="48"/>
    </row>
    <row r="11" spans="1:15" ht="15.75" customHeight="1" thickBot="1">
      <c r="A11" s="488"/>
      <c r="B11" s="488"/>
      <c r="C11" s="488"/>
      <c r="D11" s="488"/>
      <c r="E11" s="488"/>
      <c r="F11" s="26"/>
      <c r="G11" s="39" t="s">
        <v>367</v>
      </c>
      <c r="H11" s="26"/>
      <c r="I11" s="73">
        <v>221.63</v>
      </c>
      <c r="J11" s="73"/>
      <c r="K11" s="47"/>
      <c r="L11" s="74" t="s">
        <v>210</v>
      </c>
      <c r="M11" s="74">
        <v>1.2</v>
      </c>
      <c r="N11" s="48" t="s">
        <v>287</v>
      </c>
      <c r="O11" s="48"/>
    </row>
    <row r="12" spans="1:15" ht="15.75" thickBot="1">
      <c r="A12" s="493" t="s">
        <v>372</v>
      </c>
      <c r="B12" s="490" t="s">
        <v>363</v>
      </c>
      <c r="C12" s="490" t="s">
        <v>369</v>
      </c>
      <c r="D12" s="489" t="s">
        <v>189</v>
      </c>
      <c r="E12" s="489" t="s">
        <v>366</v>
      </c>
      <c r="F12" s="490" t="s">
        <v>203</v>
      </c>
      <c r="G12" s="490" t="s">
        <v>368</v>
      </c>
      <c r="H12" s="40"/>
      <c r="I12" s="48">
        <v>62.1</v>
      </c>
      <c r="J12" s="48"/>
      <c r="K12" s="47"/>
      <c r="L12" s="48" t="s">
        <v>207</v>
      </c>
      <c r="M12" s="48">
        <v>4</v>
      </c>
      <c r="N12" s="48" t="s">
        <v>288</v>
      </c>
      <c r="O12" s="48"/>
    </row>
    <row r="13" spans="1:18" ht="15" thickBot="1">
      <c r="A13" s="494"/>
      <c r="B13" s="490"/>
      <c r="C13" s="490"/>
      <c r="D13" s="489"/>
      <c r="E13" s="489"/>
      <c r="F13" s="490"/>
      <c r="G13" s="490"/>
      <c r="H13" s="14"/>
      <c r="I13" s="48"/>
      <c r="J13" s="48"/>
      <c r="K13" s="47"/>
      <c r="L13" s="48" t="s">
        <v>213</v>
      </c>
      <c r="M13" s="48">
        <v>92</v>
      </c>
      <c r="N13" s="74" t="s">
        <v>252</v>
      </c>
      <c r="O13" s="74"/>
      <c r="P13" s="15"/>
      <c r="Q13" s="15"/>
      <c r="R13" s="15"/>
    </row>
    <row r="14" spans="1:15" ht="15" thickBo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2"/>
      <c r="I14" s="48"/>
      <c r="J14" s="48"/>
      <c r="K14" s="47"/>
      <c r="L14" s="48" t="s">
        <v>209</v>
      </c>
      <c r="M14" s="5">
        <v>1.6</v>
      </c>
      <c r="N14" s="48" t="s">
        <v>284</v>
      </c>
      <c r="O14" s="48"/>
    </row>
    <row r="15" spans="1:15" ht="14.25">
      <c r="A15" s="48">
        <v>1</v>
      </c>
      <c r="B15" s="357"/>
      <c r="C15" s="53" t="s">
        <v>258</v>
      </c>
      <c r="D15" s="48" t="s">
        <v>190</v>
      </c>
      <c r="E15" s="51">
        <f>M13*2</f>
        <v>184</v>
      </c>
      <c r="F15" s="377"/>
      <c r="G15" s="52">
        <f aca="true" t="shared" si="0" ref="G15:G21">E15*F15</f>
        <v>0</v>
      </c>
      <c r="H15" s="7"/>
      <c r="I15" s="48"/>
      <c r="J15" s="48"/>
      <c r="K15" s="47"/>
      <c r="L15" s="48" t="s">
        <v>208</v>
      </c>
      <c r="M15" s="48">
        <f>M10*M11*M12*2</f>
        <v>67.2</v>
      </c>
      <c r="N15" s="48" t="s">
        <v>285</v>
      </c>
      <c r="O15" s="48"/>
    </row>
    <row r="16" spans="1:15" ht="14.25">
      <c r="A16" s="48">
        <v>2</v>
      </c>
      <c r="B16" s="357"/>
      <c r="C16" s="53" t="s">
        <v>37</v>
      </c>
      <c r="D16" s="48" t="s">
        <v>190</v>
      </c>
      <c r="E16" s="51">
        <f>M10*2.5*2+O10*4*2</f>
        <v>35</v>
      </c>
      <c r="F16" s="377"/>
      <c r="G16" s="52">
        <f t="shared" si="0"/>
        <v>0</v>
      </c>
      <c r="H16" s="7"/>
      <c r="I16" s="48"/>
      <c r="J16" s="48"/>
      <c r="K16" s="47"/>
      <c r="L16" s="48" t="s">
        <v>212</v>
      </c>
      <c r="M16" s="48">
        <v>2</v>
      </c>
      <c r="N16" s="48" t="s">
        <v>253</v>
      </c>
      <c r="O16" s="48"/>
    </row>
    <row r="17" spans="1:15" ht="28.5">
      <c r="A17" s="48">
        <v>3</v>
      </c>
      <c r="B17" s="357"/>
      <c r="C17" s="53" t="s">
        <v>260</v>
      </c>
      <c r="D17" s="48" t="s">
        <v>386</v>
      </c>
      <c r="E17" s="51">
        <f>M13*M14</f>
        <v>147.20000000000002</v>
      </c>
      <c r="F17" s="377"/>
      <c r="G17" s="52">
        <f t="shared" si="0"/>
        <v>0</v>
      </c>
      <c r="H17" s="7"/>
      <c r="I17" s="48"/>
      <c r="J17" s="48"/>
      <c r="K17" s="75"/>
      <c r="L17" s="48"/>
      <c r="M17" s="48"/>
      <c r="N17" s="48" t="s">
        <v>209</v>
      </c>
      <c r="O17" s="48"/>
    </row>
    <row r="18" spans="1:15" ht="28.5">
      <c r="A18" s="48">
        <v>4</v>
      </c>
      <c r="B18" s="357"/>
      <c r="C18" s="53" t="s">
        <v>38</v>
      </c>
      <c r="D18" s="48" t="s">
        <v>386</v>
      </c>
      <c r="E18" s="51">
        <f>M10*2.5*M11+O10*4*O13</f>
        <v>21</v>
      </c>
      <c r="F18" s="377"/>
      <c r="G18" s="52">
        <f t="shared" si="0"/>
        <v>0</v>
      </c>
      <c r="H18" s="7"/>
      <c r="I18" s="48"/>
      <c r="J18" s="48"/>
      <c r="K18" s="75"/>
      <c r="L18" s="76"/>
      <c r="M18" s="76"/>
      <c r="N18" s="48" t="s">
        <v>216</v>
      </c>
      <c r="O18" s="48"/>
    </row>
    <row r="19" spans="1:13" ht="14.25">
      <c r="A19" s="48">
        <v>5</v>
      </c>
      <c r="B19" s="357"/>
      <c r="C19" s="53" t="s">
        <v>39</v>
      </c>
      <c r="D19" s="48" t="s">
        <v>190</v>
      </c>
      <c r="E19" s="51">
        <f>M10*1+O12*1</f>
        <v>7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16.5">
      <c r="A20" s="48">
        <v>6</v>
      </c>
      <c r="B20" s="357"/>
      <c r="C20" s="53" t="s">
        <v>40</v>
      </c>
      <c r="D20" s="48" t="s">
        <v>386</v>
      </c>
      <c r="E20" s="51">
        <f>M10*1.5+O12*1.5</f>
        <v>10.5</v>
      </c>
      <c r="F20" s="377"/>
      <c r="G20" s="52">
        <f t="shared" si="0"/>
        <v>0</v>
      </c>
      <c r="H20" s="7"/>
      <c r="I20" s="48"/>
      <c r="J20" s="48"/>
      <c r="K20" s="75"/>
      <c r="L20" s="34"/>
      <c r="M20" s="34"/>
    </row>
    <row r="21" spans="1:13" ht="28.5">
      <c r="A21" s="48">
        <v>7</v>
      </c>
      <c r="B21" s="357"/>
      <c r="C21" s="77" t="s">
        <v>268</v>
      </c>
      <c r="D21" s="50" t="s">
        <v>385</v>
      </c>
      <c r="E21" s="51">
        <f>(E17+E18+E20)*0.1</f>
        <v>17.87</v>
      </c>
      <c r="F21" s="377"/>
      <c r="G21" s="52">
        <f t="shared" si="0"/>
        <v>0</v>
      </c>
      <c r="H21" s="7"/>
      <c r="I21" s="48"/>
      <c r="J21" s="48"/>
      <c r="K21" s="75"/>
      <c r="L21" s="34"/>
      <c r="M21" s="34"/>
    </row>
    <row r="22" spans="1:13" ht="28.5">
      <c r="A22" s="496">
        <v>8</v>
      </c>
      <c r="B22" s="43"/>
      <c r="C22" s="44" t="s">
        <v>198</v>
      </c>
      <c r="D22" s="43"/>
      <c r="E22" s="43"/>
      <c r="F22" s="45"/>
      <c r="G22" s="45"/>
      <c r="H22" s="7"/>
      <c r="I22" s="48"/>
      <c r="J22" s="48"/>
      <c r="K22" s="75"/>
      <c r="L22" s="34"/>
      <c r="M22" s="34"/>
    </row>
    <row r="23" spans="1:12" ht="16.5">
      <c r="A23" s="497">
        <f>A22+1</f>
        <v>9</v>
      </c>
      <c r="B23" s="357"/>
      <c r="C23" s="49" t="s">
        <v>264</v>
      </c>
      <c r="D23" s="50" t="s">
        <v>385</v>
      </c>
      <c r="E23" s="51">
        <f>0.7*I24</f>
        <v>198.611</v>
      </c>
      <c r="F23" s="377"/>
      <c r="G23" s="52">
        <f>E23*F23</f>
        <v>0</v>
      </c>
      <c r="H23" s="7"/>
      <c r="I23" s="48"/>
      <c r="J23" s="48"/>
      <c r="K23" s="75"/>
      <c r="L23" s="34"/>
    </row>
    <row r="24" spans="1:12" ht="16.5">
      <c r="A24" s="497">
        <f>A23+1</f>
        <v>10</v>
      </c>
      <c r="B24" s="357"/>
      <c r="C24" s="53" t="s">
        <v>263</v>
      </c>
      <c r="D24" s="50" t="s">
        <v>385</v>
      </c>
      <c r="E24" s="51">
        <f>0.05*I24</f>
        <v>14.186500000000002</v>
      </c>
      <c r="F24" s="377"/>
      <c r="G24" s="52">
        <f>E24*F24</f>
        <v>0</v>
      </c>
      <c r="H24" s="7"/>
      <c r="I24" s="76">
        <f>SUM(I11:I23)</f>
        <v>283.73</v>
      </c>
      <c r="J24" s="76">
        <f>SUM(J11:J23)</f>
        <v>0</v>
      </c>
      <c r="K24" s="48">
        <f>SUM(I24:J24)</f>
        <v>283.73</v>
      </c>
      <c r="L24" s="34"/>
    </row>
    <row r="25" spans="1:11" ht="16.5">
      <c r="A25" s="498">
        <f>A24+1</f>
        <v>11</v>
      </c>
      <c r="B25" s="357"/>
      <c r="C25" s="49" t="s">
        <v>265</v>
      </c>
      <c r="D25" s="50" t="s">
        <v>385</v>
      </c>
      <c r="E25" s="51">
        <f>0.25*I24</f>
        <v>70.9325</v>
      </c>
      <c r="F25" s="377"/>
      <c r="G25" s="52">
        <f>E25*F25</f>
        <v>0</v>
      </c>
      <c r="H25" s="7"/>
      <c r="I25" s="34"/>
      <c r="J25" s="34"/>
      <c r="K25" s="34"/>
    </row>
    <row r="26" spans="1:11" ht="15" customHeight="1">
      <c r="A26" s="496">
        <v>9</v>
      </c>
      <c r="B26" s="48"/>
      <c r="C26" s="53" t="s">
        <v>244</v>
      </c>
      <c r="D26" s="96"/>
      <c r="E26" s="96"/>
      <c r="F26" s="52"/>
      <c r="G26" s="97"/>
      <c r="H26" s="7"/>
      <c r="I26" s="34"/>
      <c r="J26" s="34"/>
      <c r="K26" s="34"/>
    </row>
    <row r="27" spans="1:11" ht="15" customHeight="1">
      <c r="A27" s="497"/>
      <c r="B27" s="357"/>
      <c r="C27" s="49" t="s">
        <v>199</v>
      </c>
      <c r="D27" s="50" t="s">
        <v>385</v>
      </c>
      <c r="E27" s="51">
        <f>0.6*M15</f>
        <v>40.32</v>
      </c>
      <c r="F27" s="377"/>
      <c r="G27" s="52">
        <f aca="true" t="shared" si="1" ref="G27:G47">E27*F27</f>
        <v>0</v>
      </c>
      <c r="H27" s="7"/>
      <c r="I27" s="34"/>
      <c r="J27" s="34"/>
      <c r="K27" s="34"/>
    </row>
    <row r="28" spans="1:11" ht="16.5">
      <c r="A28" s="497"/>
      <c r="B28" s="357"/>
      <c r="C28" s="53" t="s">
        <v>266</v>
      </c>
      <c r="D28" s="50" t="s">
        <v>385</v>
      </c>
      <c r="E28" s="51">
        <f>0.05*M15</f>
        <v>3.3600000000000003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98"/>
      <c r="B29" s="357"/>
      <c r="C29" s="49" t="s">
        <v>267</v>
      </c>
      <c r="D29" s="50" t="s">
        <v>385</v>
      </c>
      <c r="E29" s="51">
        <f>0.35*M15</f>
        <v>23.52</v>
      </c>
      <c r="F29" s="377"/>
      <c r="G29" s="52">
        <f t="shared" si="1"/>
        <v>0</v>
      </c>
      <c r="H29" s="7"/>
      <c r="I29" s="34"/>
      <c r="J29" s="34"/>
      <c r="K29" s="34"/>
    </row>
    <row r="30" spans="1:11" ht="28.5">
      <c r="A30" s="48">
        <v>10</v>
      </c>
      <c r="B30" s="357"/>
      <c r="C30" s="80" t="s">
        <v>196</v>
      </c>
      <c r="D30" s="50" t="s">
        <v>385</v>
      </c>
      <c r="E30" s="51">
        <f>E25+E29</f>
        <v>94.4525</v>
      </c>
      <c r="F30" s="377"/>
      <c r="G30" s="52">
        <f t="shared" si="1"/>
        <v>0</v>
      </c>
      <c r="H30" s="7"/>
      <c r="I30" s="34"/>
      <c r="J30" s="34"/>
      <c r="K30" s="34"/>
    </row>
    <row r="31" spans="1:11" ht="15" customHeight="1">
      <c r="A31" s="48">
        <v>11</v>
      </c>
      <c r="B31" s="357"/>
      <c r="C31" s="55" t="s">
        <v>197</v>
      </c>
      <c r="D31" s="50" t="s">
        <v>385</v>
      </c>
      <c r="E31" s="81">
        <f>E30</f>
        <v>94.4525</v>
      </c>
      <c r="F31" s="377"/>
      <c r="G31" s="52">
        <f t="shared" si="1"/>
        <v>0</v>
      </c>
      <c r="H31" s="7"/>
      <c r="I31" s="34"/>
      <c r="J31" s="34"/>
      <c r="K31" s="34"/>
    </row>
    <row r="32" spans="1:11" ht="16.5">
      <c r="A32" s="48">
        <v>12</v>
      </c>
      <c r="B32" s="357"/>
      <c r="C32" s="80" t="s">
        <v>72</v>
      </c>
      <c r="D32" s="50" t="s">
        <v>385</v>
      </c>
      <c r="E32" s="51">
        <f>K24+M15</f>
        <v>350.93</v>
      </c>
      <c r="F32" s="377"/>
      <c r="G32" s="52">
        <f t="shared" si="1"/>
        <v>0</v>
      </c>
      <c r="H32" s="7"/>
      <c r="I32" s="34"/>
      <c r="J32" s="34"/>
      <c r="K32" s="34"/>
    </row>
    <row r="33" spans="1:11" ht="16.5">
      <c r="A33" s="48">
        <v>13</v>
      </c>
      <c r="B33" s="357"/>
      <c r="C33" s="49" t="s">
        <v>387</v>
      </c>
      <c r="D33" s="48" t="s">
        <v>386</v>
      </c>
      <c r="E33" s="48">
        <f>M13*4</f>
        <v>368</v>
      </c>
      <c r="F33" s="377"/>
      <c r="G33" s="52">
        <f t="shared" si="1"/>
        <v>0</v>
      </c>
      <c r="H33" s="7"/>
      <c r="I33" s="34"/>
      <c r="J33" s="34"/>
      <c r="K33" s="34"/>
    </row>
    <row r="34" spans="1:11" ht="15" customHeight="1">
      <c r="A34" s="48">
        <v>14</v>
      </c>
      <c r="B34" s="357"/>
      <c r="C34" s="80" t="s">
        <v>42</v>
      </c>
      <c r="D34" s="50" t="s">
        <v>385</v>
      </c>
      <c r="E34" s="51">
        <f>0.1*1.1*E36</f>
        <v>10.120000000000001</v>
      </c>
      <c r="F34" s="377"/>
      <c r="G34" s="52">
        <f t="shared" si="1"/>
        <v>0</v>
      </c>
      <c r="H34" s="7"/>
      <c r="I34" s="34"/>
      <c r="J34" s="34"/>
      <c r="K34" s="34"/>
    </row>
    <row r="35" spans="1:11" ht="42.75">
      <c r="A35" s="48">
        <v>15</v>
      </c>
      <c r="B35" s="357"/>
      <c r="C35" s="53" t="s">
        <v>43</v>
      </c>
      <c r="D35" s="50" t="s">
        <v>385</v>
      </c>
      <c r="E35" s="51">
        <f>E32-E34-E45-6.5</f>
        <v>276.35</v>
      </c>
      <c r="F35" s="377"/>
      <c r="G35" s="52">
        <f t="shared" si="1"/>
        <v>0</v>
      </c>
      <c r="H35" s="7"/>
      <c r="I35" s="34"/>
      <c r="J35" s="34"/>
      <c r="K35" s="34"/>
    </row>
    <row r="36" spans="1:11" ht="14.25">
      <c r="A36" s="48">
        <v>16</v>
      </c>
      <c r="B36" s="357"/>
      <c r="C36" s="53" t="s">
        <v>291</v>
      </c>
      <c r="D36" s="48" t="s">
        <v>190</v>
      </c>
      <c r="E36" s="48">
        <f>M13</f>
        <v>92</v>
      </c>
      <c r="F36" s="377"/>
      <c r="G36" s="52">
        <f t="shared" si="1"/>
        <v>0</v>
      </c>
      <c r="H36" s="7"/>
      <c r="I36" s="34"/>
      <c r="J36" s="34"/>
      <c r="K36" s="98"/>
    </row>
    <row r="37" spans="1:15" s="30" customFormat="1" ht="28.5">
      <c r="A37" s="48">
        <v>17</v>
      </c>
      <c r="B37" s="357"/>
      <c r="C37" s="53" t="s">
        <v>309</v>
      </c>
      <c r="D37" s="48" t="s">
        <v>191</v>
      </c>
      <c r="E37" s="48">
        <v>2</v>
      </c>
      <c r="F37" s="377"/>
      <c r="G37" s="52">
        <f t="shared" si="1"/>
        <v>0</v>
      </c>
      <c r="H37" s="7"/>
      <c r="I37" s="29"/>
      <c r="J37" s="29"/>
      <c r="K37" s="29"/>
      <c r="L37" s="29"/>
      <c r="N37" s="29"/>
      <c r="O37" s="29"/>
    </row>
    <row r="38" spans="1:15" s="30" customFormat="1" ht="14.25">
      <c r="A38" s="48">
        <v>18</v>
      </c>
      <c r="B38" s="357"/>
      <c r="C38" s="53" t="s">
        <v>200</v>
      </c>
      <c r="D38" s="48" t="s">
        <v>191</v>
      </c>
      <c r="E38" s="48">
        <f>M10</f>
        <v>7</v>
      </c>
      <c r="F38" s="377"/>
      <c r="G38" s="52">
        <f t="shared" si="1"/>
        <v>0</v>
      </c>
      <c r="H38" s="7"/>
      <c r="I38" s="29"/>
      <c r="J38" s="29"/>
      <c r="K38" s="29"/>
      <c r="L38" s="29"/>
      <c r="M38" s="29"/>
      <c r="N38" s="29"/>
      <c r="O38" s="29"/>
    </row>
    <row r="39" spans="1:8" ht="42.75">
      <c r="A39" s="48">
        <v>19</v>
      </c>
      <c r="B39" s="357"/>
      <c r="C39" s="53" t="s">
        <v>233</v>
      </c>
      <c r="D39" s="48" t="s">
        <v>191</v>
      </c>
      <c r="E39" s="51">
        <v>2</v>
      </c>
      <c r="F39" s="377"/>
      <c r="G39" s="52">
        <f t="shared" si="1"/>
        <v>0</v>
      </c>
      <c r="H39" s="7"/>
    </row>
    <row r="40" spans="1:15" ht="14.25">
      <c r="A40" s="48">
        <v>20</v>
      </c>
      <c r="B40" s="357"/>
      <c r="C40" s="49" t="s">
        <v>192</v>
      </c>
      <c r="D40" s="48" t="s">
        <v>193</v>
      </c>
      <c r="E40" s="51">
        <f>40*M13/2000</f>
        <v>1.84</v>
      </c>
      <c r="F40" s="377"/>
      <c r="G40" s="52">
        <f t="shared" si="1"/>
        <v>0</v>
      </c>
      <c r="H40" s="7"/>
      <c r="L40" s="30"/>
      <c r="N40" s="30"/>
      <c r="O40" s="30"/>
    </row>
    <row r="41" spans="1:13" ht="14.25">
      <c r="A41" s="48">
        <v>21</v>
      </c>
      <c r="B41" s="357"/>
      <c r="C41" s="95" t="s">
        <v>282</v>
      </c>
      <c r="D41" s="48" t="s">
        <v>190</v>
      </c>
      <c r="E41" s="51">
        <f>E19</f>
        <v>7</v>
      </c>
      <c r="F41" s="377"/>
      <c r="G41" s="52">
        <f t="shared" si="1"/>
        <v>0</v>
      </c>
      <c r="H41" s="7"/>
      <c r="M41" s="34"/>
    </row>
    <row r="42" spans="1:8" ht="16.5">
      <c r="A42" s="48">
        <v>22</v>
      </c>
      <c r="B42" s="357"/>
      <c r="C42" s="95" t="s">
        <v>283</v>
      </c>
      <c r="D42" s="48" t="s">
        <v>386</v>
      </c>
      <c r="E42" s="51">
        <f>E20</f>
        <v>10.5</v>
      </c>
      <c r="F42" s="377"/>
      <c r="G42" s="52">
        <f t="shared" si="1"/>
        <v>0</v>
      </c>
      <c r="H42" s="7"/>
    </row>
    <row r="43" spans="1:15" s="30" customFormat="1" ht="28.5">
      <c r="A43" s="48">
        <v>23</v>
      </c>
      <c r="B43" s="357"/>
      <c r="C43" s="77" t="s">
        <v>293</v>
      </c>
      <c r="D43" s="48" t="s">
        <v>195</v>
      </c>
      <c r="E43" s="82">
        <f>(E17+E18)*96/1000</f>
        <v>16.1472</v>
      </c>
      <c r="F43" s="377"/>
      <c r="G43" s="52">
        <f t="shared" si="1"/>
        <v>0</v>
      </c>
      <c r="H43" s="34"/>
      <c r="I43" s="34"/>
      <c r="J43" s="29"/>
      <c r="N43" s="34"/>
      <c r="O43" s="29"/>
    </row>
    <row r="44" spans="1:14" ht="28.5">
      <c r="A44" s="48">
        <v>24</v>
      </c>
      <c r="B44" s="357"/>
      <c r="C44" s="77" t="s">
        <v>20</v>
      </c>
      <c r="D44" s="48" t="s">
        <v>195</v>
      </c>
      <c r="E44" s="82">
        <f>(E17+E18)*0.06*2.4</f>
        <v>24.2208</v>
      </c>
      <c r="F44" s="377"/>
      <c r="G44" s="52">
        <f t="shared" si="1"/>
        <v>0</v>
      </c>
      <c r="H44" s="34"/>
      <c r="I44" s="34"/>
      <c r="N44" s="34"/>
    </row>
    <row r="45" spans="1:8" ht="28.5">
      <c r="A45" s="48">
        <v>25</v>
      </c>
      <c r="B45" s="357"/>
      <c r="C45" s="53" t="s">
        <v>21</v>
      </c>
      <c r="D45" s="83" t="s">
        <v>385</v>
      </c>
      <c r="E45" s="85">
        <v>57.96</v>
      </c>
      <c r="F45" s="377"/>
      <c r="G45" s="52">
        <f t="shared" si="1"/>
        <v>0</v>
      </c>
      <c r="H45" s="7"/>
    </row>
    <row r="46" spans="1:15" ht="14.25">
      <c r="A46" s="48">
        <v>26</v>
      </c>
      <c r="B46" s="357"/>
      <c r="C46" s="77" t="s">
        <v>194</v>
      </c>
      <c r="D46" s="74" t="s">
        <v>190</v>
      </c>
      <c r="E46" s="85">
        <f>E15+E16</f>
        <v>219</v>
      </c>
      <c r="F46" s="377"/>
      <c r="G46" s="52">
        <f t="shared" si="1"/>
        <v>0</v>
      </c>
      <c r="H46" s="7"/>
      <c r="N46" s="30"/>
      <c r="O46" s="30"/>
    </row>
    <row r="47" spans="1:15" s="2" customFormat="1" ht="14.25">
      <c r="A47" s="48">
        <v>27</v>
      </c>
      <c r="B47" s="357"/>
      <c r="C47" s="55" t="s">
        <v>201</v>
      </c>
      <c r="D47" s="50" t="s">
        <v>190</v>
      </c>
      <c r="E47" s="50">
        <f>M13</f>
        <v>92</v>
      </c>
      <c r="F47" s="377"/>
      <c r="G47" s="52">
        <f t="shared" si="1"/>
        <v>0</v>
      </c>
      <c r="H47" s="7"/>
      <c r="I47" s="29"/>
      <c r="J47" s="29"/>
      <c r="K47" s="29"/>
      <c r="L47" s="29"/>
      <c r="M47" s="29"/>
      <c r="N47" s="30"/>
      <c r="O47" s="30"/>
    </row>
    <row r="48" spans="5:8" ht="15">
      <c r="E48" s="57"/>
      <c r="F48" s="58" t="s">
        <v>364</v>
      </c>
      <c r="G48" s="59">
        <f>SUM(G15:G47)</f>
        <v>0</v>
      </c>
      <c r="H48" s="7"/>
    </row>
    <row r="49" spans="5:8" ht="15">
      <c r="E49" s="484" t="s">
        <v>206</v>
      </c>
      <c r="F49" s="484"/>
      <c r="G49" s="59">
        <f>G48*0.2</f>
        <v>0</v>
      </c>
      <c r="H49" s="7"/>
    </row>
    <row r="50" spans="3:7" ht="15">
      <c r="C50" s="26"/>
      <c r="E50" s="57"/>
      <c r="F50" s="60" t="s">
        <v>365</v>
      </c>
      <c r="G50" s="59">
        <f>SUM(G48:G49)</f>
        <v>0</v>
      </c>
    </row>
    <row r="51" spans="3:5" ht="14.25">
      <c r="C51" s="61"/>
      <c r="D51" s="62"/>
      <c r="E51" s="62"/>
    </row>
    <row r="52" spans="2:16" ht="18.75">
      <c r="B52" s="63" t="s">
        <v>370</v>
      </c>
      <c r="C52" s="64" t="s">
        <v>371</v>
      </c>
      <c r="D52" s="62"/>
      <c r="E52" s="62"/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5" customHeight="1"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4.25">
      <c r="H55" s="28"/>
      <c r="I55" s="28"/>
      <c r="J55" s="28"/>
      <c r="K55" s="28"/>
      <c r="L55" s="28"/>
      <c r="M55" s="28"/>
      <c r="N55" s="28"/>
      <c r="O55" s="28"/>
      <c r="P55" s="28"/>
    </row>
    <row r="56" spans="1:6" s="67" customFormat="1" ht="15">
      <c r="A56" s="65" t="s">
        <v>373</v>
      </c>
      <c r="B56" s="2"/>
      <c r="C56" s="65"/>
      <c r="D56" s="66" t="s">
        <v>374</v>
      </c>
      <c r="E56" s="24"/>
      <c r="F56" s="426"/>
    </row>
    <row r="57" spans="1:6" s="67" customFormat="1" ht="12.75">
      <c r="A57" s="11"/>
      <c r="B57" s="2"/>
      <c r="C57" s="11"/>
      <c r="D57" s="2"/>
      <c r="E57" s="24"/>
      <c r="F57" s="426"/>
    </row>
    <row r="58" spans="1:6" s="67" customFormat="1" ht="14.25">
      <c r="A58" s="11"/>
      <c r="B58" s="2"/>
      <c r="C58" s="68"/>
      <c r="D58" s="69" t="s">
        <v>375</v>
      </c>
      <c r="E58" s="24"/>
      <c r="F58" s="426"/>
    </row>
    <row r="59" spans="1:6" s="67" customFormat="1" ht="12.75">
      <c r="A59" s="11"/>
      <c r="B59" s="2"/>
      <c r="C59" s="11"/>
      <c r="D59" s="2"/>
      <c r="E59" s="70" t="s">
        <v>376</v>
      </c>
      <c r="F59" s="426"/>
    </row>
    <row r="60" spans="1:6" s="67" customFormat="1" ht="14.25">
      <c r="A60" s="11"/>
      <c r="B60" s="2"/>
      <c r="C60" s="68"/>
      <c r="D60" s="69" t="s">
        <v>377</v>
      </c>
      <c r="E60" s="24"/>
      <c r="F60" s="426"/>
    </row>
    <row r="61" spans="1:6" s="67" customFormat="1" ht="12.75">
      <c r="A61" s="11"/>
      <c r="B61" s="2"/>
      <c r="C61" s="11"/>
      <c r="D61" s="71" t="s">
        <v>378</v>
      </c>
      <c r="E61" s="24"/>
      <c r="F61" s="426"/>
    </row>
  </sheetData>
  <sheetProtection sheet="1" formatCells="0" formatColumns="0" formatRows="0" insertColumns="0" insertRows="0" insertHyperlinks="0" deleteColumns="0" deleteRows="0"/>
  <protectedRanges>
    <protectedRange password="CF7A" sqref="A52:E61" name="Range1"/>
    <protectedRange password="CF7A" sqref="A11:A14 C11:E14 B11:B12 B14" name="Range1_2"/>
    <protectedRange password="CF7A" sqref="F49 E48:E50" name="Range1_1"/>
    <protectedRange password="CF7A" sqref="A6:E8" name="Range1_3"/>
  </protectedRanges>
  <mergeCells count="21">
    <mergeCell ref="C12:C13"/>
    <mergeCell ref="D12:D13"/>
    <mergeCell ref="E12:E13"/>
    <mergeCell ref="E49:F49"/>
    <mergeCell ref="C1:G1"/>
    <mergeCell ref="C3:G3"/>
    <mergeCell ref="A4:B4"/>
    <mergeCell ref="C4:G4"/>
    <mergeCell ref="G12:G13"/>
    <mergeCell ref="A12:A13"/>
    <mergeCell ref="A8:B8"/>
    <mergeCell ref="C8:G8"/>
    <mergeCell ref="C5:G5"/>
    <mergeCell ref="A26:A29"/>
    <mergeCell ref="A22:A25"/>
    <mergeCell ref="A6:E7"/>
    <mergeCell ref="A11:E11"/>
    <mergeCell ref="A10:G10"/>
    <mergeCell ref="F12:F13"/>
    <mergeCell ref="B12:B13"/>
    <mergeCell ref="F6:F7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5742187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587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17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8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274.57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73.58</v>
      </c>
      <c r="J10" s="48"/>
      <c r="K10" s="47"/>
      <c r="L10" s="48" t="s">
        <v>207</v>
      </c>
      <c r="M10" s="48">
        <v>4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109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218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76.8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M8*2.5*2+O8*4*2</f>
        <v>40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3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174.4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M8*2.5*M9+O8*4*O11</f>
        <v>24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M8*1+O10*1</f>
        <v>8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M8*1.7+O10*1.7</f>
        <v>13.6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21.200000000000003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243.70499999999996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17.4075</v>
      </c>
      <c r="F22" s="377"/>
      <c r="G22" s="52">
        <f>E22*F22</f>
        <v>0</v>
      </c>
      <c r="H22" s="7"/>
      <c r="I22" s="76">
        <f>SUM(I9:I21)</f>
        <v>348.15</v>
      </c>
      <c r="J22" s="76">
        <f>SUM(J9:J21)</f>
        <v>0</v>
      </c>
      <c r="K22" s="48">
        <f>SUM(I22:J22)</f>
        <v>348.15</v>
      </c>
      <c r="L22" s="34"/>
    </row>
    <row r="23" spans="1:11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87.0375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57"/>
      <c r="C25" s="49" t="s">
        <v>199</v>
      </c>
      <c r="D25" s="50" t="s">
        <v>385</v>
      </c>
      <c r="E25" s="51">
        <f>0.6*M13</f>
        <v>46.08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3.84</v>
      </c>
      <c r="F26" s="377"/>
      <c r="G26" s="52">
        <f t="shared" si="1"/>
        <v>0</v>
      </c>
      <c r="H26" s="7"/>
      <c r="I26" s="34"/>
      <c r="J26" s="34"/>
      <c r="K26" s="34"/>
    </row>
    <row r="27" spans="1:11" ht="16.5">
      <c r="A27" s="498"/>
      <c r="B27" s="357"/>
      <c r="C27" s="49" t="s">
        <v>267</v>
      </c>
      <c r="D27" s="50" t="s">
        <v>385</v>
      </c>
      <c r="E27" s="51">
        <f>0.35*M13</f>
        <v>26.88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113.91749999999999</v>
      </c>
      <c r="F28" s="377"/>
      <c r="G28" s="52">
        <f t="shared" si="1"/>
        <v>0</v>
      </c>
      <c r="H28" s="7"/>
      <c r="I28" s="34"/>
      <c r="J28" s="34"/>
      <c r="K28" s="34"/>
    </row>
    <row r="29" spans="1:11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113.91749999999999</v>
      </c>
      <c r="F29" s="377"/>
      <c r="G29" s="52">
        <f t="shared" si="1"/>
        <v>0</v>
      </c>
      <c r="H29" s="7"/>
      <c r="I29" s="34"/>
      <c r="J29" s="34"/>
      <c r="K29" s="34"/>
    </row>
    <row r="30" spans="1:11" ht="16.5">
      <c r="A30" s="48">
        <v>12</v>
      </c>
      <c r="B30" s="357"/>
      <c r="C30" s="80" t="s">
        <v>72</v>
      </c>
      <c r="D30" s="50" t="s">
        <v>385</v>
      </c>
      <c r="E30" s="51">
        <f>K22+M13</f>
        <v>424.95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436</v>
      </c>
      <c r="F31" s="377"/>
      <c r="G31" s="52">
        <f t="shared" si="1"/>
        <v>0</v>
      </c>
      <c r="H31" s="7"/>
      <c r="I31" s="34"/>
      <c r="J31" s="34"/>
      <c r="K31" s="34"/>
    </row>
    <row r="32" spans="1:11" ht="28.5">
      <c r="A32" s="48">
        <v>14</v>
      </c>
      <c r="B32" s="357"/>
      <c r="C32" s="80" t="s">
        <v>83</v>
      </c>
      <c r="D32" s="50" t="s">
        <v>385</v>
      </c>
      <c r="E32" s="51">
        <f>0.1*1.1*E34</f>
        <v>11.990000000000002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E30-E32-E43-7.7</f>
        <v>336.59</v>
      </c>
      <c r="F33" s="377"/>
      <c r="G33" s="52">
        <f t="shared" si="1"/>
        <v>0</v>
      </c>
      <c r="H33" s="7"/>
      <c r="I33" s="34"/>
      <c r="J33" s="34"/>
      <c r="K33" s="34"/>
    </row>
    <row r="34" spans="1:11" ht="14.25">
      <c r="A34" s="48">
        <v>16</v>
      </c>
      <c r="B34" s="357"/>
      <c r="C34" s="53" t="s">
        <v>291</v>
      </c>
      <c r="D34" s="48" t="s">
        <v>190</v>
      </c>
      <c r="E34" s="48">
        <f>M11</f>
        <v>109</v>
      </c>
      <c r="F34" s="377"/>
      <c r="G34" s="52">
        <f t="shared" si="1"/>
        <v>0</v>
      </c>
      <c r="H34" s="7"/>
      <c r="I34" s="34"/>
      <c r="J34" s="34"/>
      <c r="K34" s="98"/>
    </row>
    <row r="35" spans="1:15" s="30" customFormat="1" ht="28.5">
      <c r="A35" s="48">
        <v>17</v>
      </c>
      <c r="B35" s="357"/>
      <c r="C35" s="53" t="s">
        <v>309</v>
      </c>
      <c r="D35" s="48" t="s">
        <v>191</v>
      </c>
      <c r="E35" s="48">
        <v>3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15" s="30" customFormat="1" ht="14.25">
      <c r="A36" s="48">
        <v>18</v>
      </c>
      <c r="B36" s="357"/>
      <c r="C36" s="53" t="s">
        <v>200</v>
      </c>
      <c r="D36" s="48" t="s">
        <v>191</v>
      </c>
      <c r="E36" s="48">
        <f>M8</f>
        <v>8</v>
      </c>
      <c r="F36" s="377"/>
      <c r="G36" s="52">
        <f t="shared" si="1"/>
        <v>0</v>
      </c>
      <c r="H36" s="7"/>
      <c r="I36" s="29"/>
      <c r="J36" s="29"/>
      <c r="K36" s="29"/>
      <c r="L36" s="29"/>
      <c r="M36" s="29"/>
      <c r="N36" s="29"/>
      <c r="O36" s="29"/>
    </row>
    <row r="37" spans="1:8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7"/>
    </row>
    <row r="38" spans="1:15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2.18</v>
      </c>
      <c r="F38" s="377"/>
      <c r="G38" s="52">
        <f t="shared" si="1"/>
        <v>0</v>
      </c>
      <c r="H38" s="7"/>
      <c r="L38" s="30"/>
      <c r="N38" s="30"/>
      <c r="O38" s="30"/>
    </row>
    <row r="39" spans="1:13" ht="14.25">
      <c r="A39" s="48">
        <v>21</v>
      </c>
      <c r="B39" s="357"/>
      <c r="C39" s="95" t="s">
        <v>282</v>
      </c>
      <c r="D39" s="48" t="s">
        <v>190</v>
      </c>
      <c r="E39" s="51">
        <f>E17</f>
        <v>8</v>
      </c>
      <c r="F39" s="377"/>
      <c r="G39" s="52">
        <f t="shared" si="1"/>
        <v>0</v>
      </c>
      <c r="H39" s="7"/>
      <c r="M39" s="34"/>
    </row>
    <row r="40" spans="1:8" ht="16.5">
      <c r="A40" s="48">
        <v>22</v>
      </c>
      <c r="B40" s="357"/>
      <c r="C40" s="95" t="s">
        <v>283</v>
      </c>
      <c r="D40" s="48" t="s">
        <v>386</v>
      </c>
      <c r="E40" s="51">
        <f>E18</f>
        <v>13.6</v>
      </c>
      <c r="F40" s="377"/>
      <c r="G40" s="52">
        <f t="shared" si="1"/>
        <v>0</v>
      </c>
      <c r="H40" s="7"/>
    </row>
    <row r="41" spans="1:15" s="30" customFormat="1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19.046400000000002</v>
      </c>
      <c r="F41" s="377"/>
      <c r="G41" s="52">
        <f t="shared" si="1"/>
        <v>0</v>
      </c>
      <c r="H41" s="34"/>
      <c r="I41" s="34"/>
      <c r="J41" s="29"/>
      <c r="N41" s="34"/>
      <c r="O41" s="29"/>
    </row>
    <row r="42" spans="1:14" ht="28.5">
      <c r="A42" s="48">
        <v>24</v>
      </c>
      <c r="B42" s="357"/>
      <c r="C42" s="77" t="s">
        <v>20</v>
      </c>
      <c r="D42" s="48" t="s">
        <v>195</v>
      </c>
      <c r="E42" s="82">
        <f>(E15+E16)*0.06*2.4</f>
        <v>28.569599999999998</v>
      </c>
      <c r="F42" s="377"/>
      <c r="G42" s="52">
        <f t="shared" si="1"/>
        <v>0</v>
      </c>
      <c r="H42" s="34"/>
      <c r="I42" s="34"/>
      <c r="N42" s="34"/>
    </row>
    <row r="43" spans="1:8" ht="28.5">
      <c r="A43" s="48">
        <v>25</v>
      </c>
      <c r="B43" s="357"/>
      <c r="C43" s="53" t="s">
        <v>21</v>
      </c>
      <c r="D43" s="83" t="s">
        <v>385</v>
      </c>
      <c r="E43" s="85">
        <v>68.67</v>
      </c>
      <c r="F43" s="377"/>
      <c r="G43" s="52">
        <f t="shared" si="1"/>
        <v>0</v>
      </c>
      <c r="H43" s="7"/>
    </row>
    <row r="44" spans="1:15" ht="14.25">
      <c r="A44" s="48">
        <v>26</v>
      </c>
      <c r="B44" s="357"/>
      <c r="C44" s="77" t="s">
        <v>194</v>
      </c>
      <c r="D44" s="74" t="s">
        <v>190</v>
      </c>
      <c r="E44" s="85">
        <f>E13+E14</f>
        <v>258</v>
      </c>
      <c r="F44" s="377"/>
      <c r="G44" s="52">
        <f t="shared" si="1"/>
        <v>0</v>
      </c>
      <c r="H44" s="7"/>
      <c r="N44" s="30"/>
      <c r="O44" s="30"/>
    </row>
    <row r="45" spans="1:15" s="2" customFormat="1" ht="14.25">
      <c r="A45" s="48">
        <v>27</v>
      </c>
      <c r="B45" s="357"/>
      <c r="C45" s="55" t="s">
        <v>201</v>
      </c>
      <c r="D45" s="50" t="s">
        <v>190</v>
      </c>
      <c r="E45" s="50">
        <f>M11</f>
        <v>109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30"/>
      <c r="O45" s="30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8" ht="15">
      <c r="E47" s="484" t="s">
        <v>206</v>
      </c>
      <c r="F47" s="484"/>
      <c r="G47" s="59">
        <f>G46*0.2</f>
        <v>0</v>
      </c>
      <c r="H47" s="7"/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47:F47"/>
    <mergeCell ref="A24:A27"/>
    <mergeCell ref="A20:A23"/>
    <mergeCell ref="A6:E7"/>
    <mergeCell ref="A9:E9"/>
    <mergeCell ref="A8:G8"/>
    <mergeCell ref="A10:A11"/>
    <mergeCell ref="B10:B11"/>
  </mergeCells>
  <printOptions horizontalCentered="1" vertic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91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22.7109375" style="32" customWidth="1"/>
    <col min="2" max="2" width="64.421875" style="68" customWidth="1"/>
    <col min="3" max="3" width="14.7109375" style="68" customWidth="1"/>
    <col min="4" max="4" width="12.7109375" style="68" customWidth="1"/>
    <col min="5" max="5" width="14.7109375" style="68" customWidth="1"/>
    <col min="6" max="16384" width="9.140625" style="68" customWidth="1"/>
  </cols>
  <sheetData>
    <row r="1" spans="1:7" s="141" customFormat="1" ht="15">
      <c r="A1" s="438" t="s">
        <v>560</v>
      </c>
      <c r="B1" s="435" t="s">
        <v>380</v>
      </c>
      <c r="D1" s="435"/>
      <c r="E1" s="435"/>
      <c r="F1" s="435"/>
      <c r="G1" s="435"/>
    </row>
    <row r="2" spans="1:2" s="141" customFormat="1" ht="15">
      <c r="A2" s="438" t="s">
        <v>561</v>
      </c>
      <c r="B2" s="203" t="s">
        <v>564</v>
      </c>
    </row>
    <row r="3" spans="1:7" s="141" customFormat="1" ht="30.75" customHeight="1">
      <c r="A3" s="440" t="s">
        <v>558</v>
      </c>
      <c r="B3" s="479"/>
      <c r="C3" s="479"/>
      <c r="D3" s="479"/>
      <c r="E3" s="479"/>
      <c r="F3" s="443"/>
      <c r="G3" s="443"/>
    </row>
    <row r="4" spans="1:7" s="141" customFormat="1" ht="18" customHeight="1">
      <c r="A4" s="441" t="s">
        <v>559</v>
      </c>
      <c r="B4" s="475"/>
      <c r="C4" s="475"/>
      <c r="D4" s="475"/>
      <c r="E4" s="475"/>
      <c r="F4" s="435"/>
      <c r="G4" s="435"/>
    </row>
    <row r="6" spans="1:6" s="213" customFormat="1" ht="20.25">
      <c r="A6" s="480" t="s">
        <v>525</v>
      </c>
      <c r="B6" s="480"/>
      <c r="C6" s="480"/>
      <c r="D6" s="480"/>
      <c r="E6" s="480"/>
      <c r="F6" s="163"/>
    </row>
    <row r="7" spans="1:6" s="282" customFormat="1" ht="5.25">
      <c r="A7" s="281"/>
      <c r="B7" s="281"/>
      <c r="C7" s="281"/>
      <c r="D7" s="281"/>
      <c r="E7" s="281"/>
      <c r="F7" s="281"/>
    </row>
    <row r="8" spans="1:5" ht="15.75">
      <c r="A8" s="472" t="s">
        <v>524</v>
      </c>
      <c r="B8" s="472"/>
      <c r="C8" s="472"/>
      <c r="D8" s="472"/>
      <c r="E8" s="472"/>
    </row>
    <row r="9" spans="1:5" s="119" customFormat="1" ht="5.25">
      <c r="A9" s="283"/>
      <c r="B9" s="283"/>
      <c r="C9" s="283"/>
      <c r="D9" s="283"/>
      <c r="E9" s="283"/>
    </row>
    <row r="10" spans="1:5" s="119" customFormat="1" ht="6" thickBot="1">
      <c r="A10" s="284"/>
      <c r="B10" s="284"/>
      <c r="C10" s="284"/>
      <c r="D10" s="284"/>
      <c r="E10" s="284"/>
    </row>
    <row r="11" spans="1:5" s="11" customFormat="1" ht="26.25" thickBot="1">
      <c r="A11" s="481" t="s">
        <v>393</v>
      </c>
      <c r="B11" s="481" t="s">
        <v>148</v>
      </c>
      <c r="C11" s="123" t="s">
        <v>394</v>
      </c>
      <c r="D11" s="122" t="s">
        <v>149</v>
      </c>
      <c r="E11" s="123" t="s">
        <v>395</v>
      </c>
    </row>
    <row r="12" spans="1:5" s="11" customFormat="1" ht="13.5" thickBot="1">
      <c r="A12" s="481"/>
      <c r="B12" s="481"/>
      <c r="C12" s="122" t="s">
        <v>150</v>
      </c>
      <c r="D12" s="122" t="s">
        <v>150</v>
      </c>
      <c r="E12" s="122" t="s">
        <v>150</v>
      </c>
    </row>
    <row r="13" spans="1:5" s="120" customFormat="1" ht="5.25">
      <c r="A13" s="121"/>
      <c r="B13" s="121"/>
      <c r="C13" s="121"/>
      <c r="D13" s="121"/>
      <c r="E13" s="121"/>
    </row>
    <row r="14" spans="1:5" s="531" customFormat="1" ht="15.75">
      <c r="A14" s="527" t="s">
        <v>396</v>
      </c>
      <c r="B14" s="528" t="s">
        <v>606</v>
      </c>
      <c r="C14" s="529"/>
      <c r="D14" s="529"/>
      <c r="E14" s="530"/>
    </row>
    <row r="15" spans="1:5" s="526" customFormat="1" ht="5.25">
      <c r="A15" s="286"/>
      <c r="B15" s="524"/>
      <c r="C15" s="287"/>
      <c r="D15" s="287"/>
      <c r="E15" s="525"/>
    </row>
    <row r="16" spans="1:5" ht="15">
      <c r="A16" s="266" t="s">
        <v>607</v>
      </c>
      <c r="B16" s="267" t="s">
        <v>399</v>
      </c>
      <c r="C16" s="268"/>
      <c r="D16" s="268"/>
      <c r="E16" s="269"/>
    </row>
    <row r="17" spans="1:5" s="119" customFormat="1" ht="5.25">
      <c r="A17" s="262"/>
      <c r="B17" s="263"/>
      <c r="C17" s="263"/>
      <c r="D17" s="263"/>
      <c r="E17" s="264"/>
    </row>
    <row r="18" spans="1:5" s="271" customFormat="1" ht="15">
      <c r="A18" s="181">
        <v>1</v>
      </c>
      <c r="B18" s="182" t="s">
        <v>46</v>
      </c>
      <c r="C18" s="270">
        <f>'01-Клон 17-I'!G46</f>
        <v>0</v>
      </c>
      <c r="D18" s="270">
        <f>C18*0.2</f>
        <v>0</v>
      </c>
      <c r="E18" s="270">
        <f>C18+D18</f>
        <v>0</v>
      </c>
    </row>
    <row r="19" spans="1:5" s="271" customFormat="1" ht="15">
      <c r="A19" s="181">
        <v>2</v>
      </c>
      <c r="B19" s="182" t="s">
        <v>47</v>
      </c>
      <c r="C19" s="270">
        <f>'02-Клон 19-I'!G47</f>
        <v>0</v>
      </c>
      <c r="D19" s="270">
        <f aca="true" t="shared" si="0" ref="D19:D62">C19*0.2</f>
        <v>0</v>
      </c>
      <c r="E19" s="270">
        <f aca="true" t="shared" si="1" ref="E19:E62">C19+D19</f>
        <v>0</v>
      </c>
    </row>
    <row r="20" spans="1:5" s="271" customFormat="1" ht="15">
      <c r="A20" s="181">
        <v>3</v>
      </c>
      <c r="B20" s="182" t="s">
        <v>48</v>
      </c>
      <c r="C20" s="270">
        <f>'03-Клон 20-I'!G45</f>
        <v>0</v>
      </c>
      <c r="D20" s="270">
        <f t="shared" si="0"/>
        <v>0</v>
      </c>
      <c r="E20" s="270">
        <f t="shared" si="1"/>
        <v>0</v>
      </c>
    </row>
    <row r="21" spans="1:5" s="271" customFormat="1" ht="15">
      <c r="A21" s="181">
        <v>4</v>
      </c>
      <c r="B21" s="182" t="s">
        <v>49</v>
      </c>
      <c r="C21" s="270">
        <f>'04-Гл.клон II'!G69</f>
        <v>0</v>
      </c>
      <c r="D21" s="270">
        <f t="shared" si="0"/>
        <v>0</v>
      </c>
      <c r="E21" s="270">
        <f t="shared" si="1"/>
        <v>0</v>
      </c>
    </row>
    <row r="22" spans="1:5" s="271" customFormat="1" ht="15">
      <c r="A22" s="181">
        <v>5</v>
      </c>
      <c r="B22" s="182" t="s">
        <v>50</v>
      </c>
      <c r="C22" s="270">
        <f>'05-Гл.клон III'!G59</f>
        <v>0</v>
      </c>
      <c r="D22" s="270">
        <f t="shared" si="0"/>
        <v>0</v>
      </c>
      <c r="E22" s="270">
        <f t="shared" si="1"/>
        <v>0</v>
      </c>
    </row>
    <row r="23" spans="1:5" ht="15">
      <c r="A23" s="181">
        <v>6</v>
      </c>
      <c r="B23" s="182" t="s">
        <v>51</v>
      </c>
      <c r="C23" s="270">
        <f>'06-Клон 3-III'!G47</f>
        <v>0</v>
      </c>
      <c r="D23" s="270">
        <f t="shared" si="0"/>
        <v>0</v>
      </c>
      <c r="E23" s="270">
        <f t="shared" si="1"/>
        <v>0</v>
      </c>
    </row>
    <row r="24" spans="1:5" ht="15">
      <c r="A24" s="181">
        <v>7</v>
      </c>
      <c r="B24" s="182" t="s">
        <v>52</v>
      </c>
      <c r="C24" s="270">
        <f>'07-Клон 4-III'!G46</f>
        <v>0</v>
      </c>
      <c r="D24" s="270">
        <f t="shared" si="0"/>
        <v>0</v>
      </c>
      <c r="E24" s="270">
        <f t="shared" si="1"/>
        <v>0</v>
      </c>
    </row>
    <row r="25" spans="1:5" ht="15">
      <c r="A25" s="181">
        <v>8</v>
      </c>
      <c r="B25" s="182" t="s">
        <v>53</v>
      </c>
      <c r="C25" s="270">
        <f>'08-Гл.клон IV'!G83</f>
        <v>0</v>
      </c>
      <c r="D25" s="270">
        <f t="shared" si="0"/>
        <v>0</v>
      </c>
      <c r="E25" s="270">
        <f t="shared" si="1"/>
        <v>0</v>
      </c>
    </row>
    <row r="26" spans="1:5" ht="15">
      <c r="A26" s="181">
        <v>9</v>
      </c>
      <c r="B26" s="182" t="s">
        <v>151</v>
      </c>
      <c r="C26" s="270">
        <f>'09-Отл.канал 6'!G52</f>
        <v>0</v>
      </c>
      <c r="D26" s="270">
        <f t="shared" si="0"/>
        <v>0</v>
      </c>
      <c r="E26" s="270">
        <f t="shared" si="1"/>
        <v>0</v>
      </c>
    </row>
    <row r="27" spans="1:5" ht="15">
      <c r="A27" s="181">
        <v>10</v>
      </c>
      <c r="B27" s="182" t="s">
        <v>152</v>
      </c>
      <c r="C27" s="270">
        <f>'10-Клон 39-IV'!G46</f>
        <v>0</v>
      </c>
      <c r="D27" s="270">
        <f t="shared" si="0"/>
        <v>0</v>
      </c>
      <c r="E27" s="270">
        <f t="shared" si="1"/>
        <v>0</v>
      </c>
    </row>
    <row r="28" spans="1:5" ht="15">
      <c r="A28" s="181">
        <v>11</v>
      </c>
      <c r="B28" s="182" t="s">
        <v>153</v>
      </c>
      <c r="C28" s="270">
        <f>'11-Клон 42-IV'!H46</f>
        <v>0</v>
      </c>
      <c r="D28" s="270">
        <f t="shared" si="0"/>
        <v>0</v>
      </c>
      <c r="E28" s="270">
        <f t="shared" si="1"/>
        <v>0</v>
      </c>
    </row>
    <row r="29" spans="1:5" ht="15">
      <c r="A29" s="181">
        <v>12</v>
      </c>
      <c r="B29" s="182" t="s">
        <v>54</v>
      </c>
      <c r="C29" s="270">
        <f>'12-Клон 43-IV'!H46</f>
        <v>0</v>
      </c>
      <c r="D29" s="270">
        <f t="shared" si="0"/>
        <v>0</v>
      </c>
      <c r="E29" s="270">
        <f t="shared" si="1"/>
        <v>0</v>
      </c>
    </row>
    <row r="30" spans="1:5" ht="15">
      <c r="A30" s="181">
        <v>13</v>
      </c>
      <c r="B30" s="182" t="s">
        <v>55</v>
      </c>
      <c r="C30" s="270">
        <f>'13-Клон 45-IV'!H47</f>
        <v>0</v>
      </c>
      <c r="D30" s="270">
        <f t="shared" si="0"/>
        <v>0</v>
      </c>
      <c r="E30" s="270">
        <f t="shared" si="1"/>
        <v>0</v>
      </c>
    </row>
    <row r="31" spans="1:5" ht="15">
      <c r="A31" s="181">
        <v>14</v>
      </c>
      <c r="B31" s="182" t="s">
        <v>99</v>
      </c>
      <c r="C31" s="270">
        <f>'14-Клон 46-IV'!G46</f>
        <v>0</v>
      </c>
      <c r="D31" s="270">
        <f t="shared" si="0"/>
        <v>0</v>
      </c>
      <c r="E31" s="270">
        <f t="shared" si="1"/>
        <v>0</v>
      </c>
    </row>
    <row r="32" spans="1:5" ht="15">
      <c r="A32" s="181">
        <v>15</v>
      </c>
      <c r="B32" s="182" t="s">
        <v>154</v>
      </c>
      <c r="C32" s="270">
        <f>'15-Гл.клон V'!G60</f>
        <v>0</v>
      </c>
      <c r="D32" s="270">
        <f t="shared" si="0"/>
        <v>0</v>
      </c>
      <c r="E32" s="270">
        <f t="shared" si="1"/>
        <v>0</v>
      </c>
    </row>
    <row r="33" spans="1:5" ht="15">
      <c r="A33" s="181">
        <v>16</v>
      </c>
      <c r="B33" s="182" t="s">
        <v>56</v>
      </c>
      <c r="C33" s="270">
        <f>'16-Клон 5-V'!G48</f>
        <v>0</v>
      </c>
      <c r="D33" s="270">
        <f t="shared" si="0"/>
        <v>0</v>
      </c>
      <c r="E33" s="270">
        <f t="shared" si="1"/>
        <v>0</v>
      </c>
    </row>
    <row r="34" spans="1:5" ht="15">
      <c r="A34" s="181">
        <v>17</v>
      </c>
      <c r="B34" s="182" t="s">
        <v>57</v>
      </c>
      <c r="C34" s="270">
        <f>'17-Клон 6-V'!G46</f>
        <v>0</v>
      </c>
      <c r="D34" s="270">
        <f t="shared" si="0"/>
        <v>0</v>
      </c>
      <c r="E34" s="270">
        <f t="shared" si="1"/>
        <v>0</v>
      </c>
    </row>
    <row r="35" spans="1:5" ht="15">
      <c r="A35" s="181">
        <v>18</v>
      </c>
      <c r="B35" s="182" t="s">
        <v>58</v>
      </c>
      <c r="C35" s="270">
        <f>'18-Клон 9-V'!G49</f>
        <v>0</v>
      </c>
      <c r="D35" s="270">
        <f t="shared" si="0"/>
        <v>0</v>
      </c>
      <c r="E35" s="270">
        <f t="shared" si="1"/>
        <v>0</v>
      </c>
    </row>
    <row r="36" spans="1:5" ht="15">
      <c r="A36" s="181">
        <v>19</v>
      </c>
      <c r="B36" s="182" t="s">
        <v>155</v>
      </c>
      <c r="C36" s="270">
        <f>'19-Гл.клон VI'!G57</f>
        <v>0</v>
      </c>
      <c r="D36" s="270">
        <f t="shared" si="0"/>
        <v>0</v>
      </c>
      <c r="E36" s="270">
        <f t="shared" si="1"/>
        <v>0</v>
      </c>
    </row>
    <row r="37" spans="1:5" ht="15">
      <c r="A37" s="181">
        <v>20</v>
      </c>
      <c r="B37" s="182" t="s">
        <v>156</v>
      </c>
      <c r="C37" s="270">
        <f>'20-Клон 1-VII'!G47</f>
        <v>0</v>
      </c>
      <c r="D37" s="270">
        <f t="shared" si="0"/>
        <v>0</v>
      </c>
      <c r="E37" s="270">
        <f t="shared" si="1"/>
        <v>0</v>
      </c>
    </row>
    <row r="38" spans="1:5" ht="15">
      <c r="A38" s="181">
        <v>21</v>
      </c>
      <c r="B38" s="182" t="s">
        <v>170</v>
      </c>
      <c r="C38" s="270">
        <f>'21-Гл.клон VIII'!G55</f>
        <v>0</v>
      </c>
      <c r="D38" s="270">
        <f t="shared" si="0"/>
        <v>0</v>
      </c>
      <c r="E38" s="270">
        <f t="shared" si="1"/>
        <v>0</v>
      </c>
    </row>
    <row r="39" spans="1:5" ht="15">
      <c r="A39" s="181">
        <v>22</v>
      </c>
      <c r="B39" s="182" t="s">
        <v>171</v>
      </c>
      <c r="C39" s="270">
        <f>'22-Клон 2-VIII'!G46</f>
        <v>0</v>
      </c>
      <c r="D39" s="270">
        <f t="shared" si="0"/>
        <v>0</v>
      </c>
      <c r="E39" s="270">
        <f>C39+D39</f>
        <v>0</v>
      </c>
    </row>
    <row r="40" spans="1:5" ht="15">
      <c r="A40" s="181">
        <v>23</v>
      </c>
      <c r="B40" s="182" t="s">
        <v>172</v>
      </c>
      <c r="C40" s="270">
        <f>'23-Клон 3-VIII'!G48</f>
        <v>0</v>
      </c>
      <c r="D40" s="270">
        <f t="shared" si="0"/>
        <v>0</v>
      </c>
      <c r="E40" s="270">
        <f>C40+D40</f>
        <v>0</v>
      </c>
    </row>
    <row r="41" spans="1:5" ht="15">
      <c r="A41" s="181">
        <v>24</v>
      </c>
      <c r="B41" s="182" t="s">
        <v>173</v>
      </c>
      <c r="C41" s="270">
        <f>'24-Клон 6-VIII'!G46</f>
        <v>0</v>
      </c>
      <c r="D41" s="270">
        <f t="shared" si="0"/>
        <v>0</v>
      </c>
      <c r="E41" s="270">
        <f>C41+D41</f>
        <v>0</v>
      </c>
    </row>
    <row r="42" spans="1:5" ht="15">
      <c r="A42" s="181">
        <v>25</v>
      </c>
      <c r="B42" s="182" t="s">
        <v>174</v>
      </c>
      <c r="C42" s="270">
        <f>'25-Клон 10-VIII'!G48</f>
        <v>0</v>
      </c>
      <c r="D42" s="270">
        <f t="shared" si="0"/>
        <v>0</v>
      </c>
      <c r="E42" s="270">
        <f>C42+D42</f>
        <v>0</v>
      </c>
    </row>
    <row r="43" spans="1:5" ht="15">
      <c r="A43" s="181">
        <v>26</v>
      </c>
      <c r="B43" s="182" t="s">
        <v>59</v>
      </c>
      <c r="C43" s="270">
        <f>'26-Гл.клон IX'!G70</f>
        <v>0</v>
      </c>
      <c r="D43" s="270">
        <f t="shared" si="0"/>
        <v>0</v>
      </c>
      <c r="E43" s="270">
        <f t="shared" si="1"/>
        <v>0</v>
      </c>
    </row>
    <row r="44" spans="1:5" ht="15">
      <c r="A44" s="181">
        <v>27</v>
      </c>
      <c r="B44" s="182" t="s">
        <v>157</v>
      </c>
      <c r="C44" s="270">
        <f>'27-Клон 5-IX'!G46</f>
        <v>0</v>
      </c>
      <c r="D44" s="270">
        <f t="shared" si="0"/>
        <v>0</v>
      </c>
      <c r="E44" s="270">
        <f t="shared" si="1"/>
        <v>0</v>
      </c>
    </row>
    <row r="45" spans="1:5" ht="15">
      <c r="A45" s="181">
        <v>28</v>
      </c>
      <c r="B45" s="182" t="s">
        <v>158</v>
      </c>
      <c r="C45" s="270">
        <f>'28-Клон 9-IX'!G49</f>
        <v>0</v>
      </c>
      <c r="D45" s="270">
        <f t="shared" si="0"/>
        <v>0</v>
      </c>
      <c r="E45" s="270">
        <f t="shared" si="1"/>
        <v>0</v>
      </c>
    </row>
    <row r="46" spans="1:5" ht="15">
      <c r="A46" s="181">
        <v>29</v>
      </c>
      <c r="B46" s="182" t="s">
        <v>159</v>
      </c>
      <c r="C46" s="270">
        <f>'29-Клон 10-IX'!G47</f>
        <v>0</v>
      </c>
      <c r="D46" s="270">
        <f t="shared" si="0"/>
        <v>0</v>
      </c>
      <c r="E46" s="270">
        <f t="shared" si="1"/>
        <v>0</v>
      </c>
    </row>
    <row r="47" spans="1:5" ht="15">
      <c r="A47" s="181">
        <v>30</v>
      </c>
      <c r="B47" s="182" t="s">
        <v>160</v>
      </c>
      <c r="C47" s="270">
        <f>'30-Клон 11-IX'!G46</f>
        <v>0</v>
      </c>
      <c r="D47" s="270">
        <f t="shared" si="0"/>
        <v>0</v>
      </c>
      <c r="E47" s="270">
        <f t="shared" si="1"/>
        <v>0</v>
      </c>
    </row>
    <row r="48" spans="1:5" ht="15">
      <c r="A48" s="181">
        <v>31</v>
      </c>
      <c r="B48" s="182" t="s">
        <v>161</v>
      </c>
      <c r="C48" s="270">
        <f>'31-Клон 12-IX'!G47</f>
        <v>0</v>
      </c>
      <c r="D48" s="270">
        <f t="shared" si="0"/>
        <v>0</v>
      </c>
      <c r="E48" s="270">
        <f t="shared" si="1"/>
        <v>0</v>
      </c>
    </row>
    <row r="49" spans="1:5" ht="15">
      <c r="A49" s="181">
        <v>32</v>
      </c>
      <c r="B49" s="182" t="s">
        <v>162</v>
      </c>
      <c r="C49" s="270">
        <f>'32-Клон 14-IX'!G45</f>
        <v>0</v>
      </c>
      <c r="D49" s="270">
        <f t="shared" si="0"/>
        <v>0</v>
      </c>
      <c r="E49" s="270">
        <f t="shared" si="1"/>
        <v>0</v>
      </c>
    </row>
    <row r="50" spans="1:5" ht="15">
      <c r="A50" s="181">
        <v>33</v>
      </c>
      <c r="B50" s="182" t="s">
        <v>163</v>
      </c>
      <c r="C50" s="270">
        <f>'33-Клон 16-IX'!G47</f>
        <v>0</v>
      </c>
      <c r="D50" s="270">
        <f t="shared" si="0"/>
        <v>0</v>
      </c>
      <c r="E50" s="270">
        <f t="shared" si="1"/>
        <v>0</v>
      </c>
    </row>
    <row r="51" spans="1:5" ht="15">
      <c r="A51" s="181">
        <v>34</v>
      </c>
      <c r="B51" s="182" t="s">
        <v>164</v>
      </c>
      <c r="C51" s="270">
        <f>'34-Клон 4-X'!G46</f>
        <v>0</v>
      </c>
      <c r="D51" s="270">
        <f t="shared" si="0"/>
        <v>0</v>
      </c>
      <c r="E51" s="270">
        <f t="shared" si="1"/>
        <v>0</v>
      </c>
    </row>
    <row r="52" spans="1:5" ht="15">
      <c r="A52" s="181">
        <v>35</v>
      </c>
      <c r="B52" s="182" t="s">
        <v>60</v>
      </c>
      <c r="C52" s="270">
        <f>'35-Клон 7'!G57</f>
        <v>0</v>
      </c>
      <c r="D52" s="270">
        <f t="shared" si="0"/>
        <v>0</v>
      </c>
      <c r="E52" s="270">
        <f t="shared" si="1"/>
        <v>0</v>
      </c>
    </row>
    <row r="53" spans="1:5" ht="15">
      <c r="A53" s="181">
        <v>36</v>
      </c>
      <c r="B53" s="182" t="s">
        <v>61</v>
      </c>
      <c r="C53" s="270">
        <f>'36-Клон 8'!G41</f>
        <v>0</v>
      </c>
      <c r="D53" s="270">
        <f t="shared" si="0"/>
        <v>0</v>
      </c>
      <c r="E53" s="270">
        <f t="shared" si="1"/>
        <v>0</v>
      </c>
    </row>
    <row r="54" spans="1:5" ht="15">
      <c r="A54" s="181">
        <v>37</v>
      </c>
      <c r="B54" s="182" t="s">
        <v>165</v>
      </c>
      <c r="C54" s="270">
        <f>'37-Клон 9'!G46</f>
        <v>0</v>
      </c>
      <c r="D54" s="270">
        <f t="shared" si="0"/>
        <v>0</v>
      </c>
      <c r="E54" s="270">
        <f t="shared" si="1"/>
        <v>0</v>
      </c>
    </row>
    <row r="55" spans="1:5" s="265" customFormat="1" ht="15.75" customHeight="1">
      <c r="A55" s="181">
        <v>38</v>
      </c>
      <c r="B55" s="215" t="s">
        <v>62</v>
      </c>
      <c r="C55" s="272">
        <f>'38-Клон 10'!G50</f>
        <v>0</v>
      </c>
      <c r="D55" s="272">
        <f t="shared" si="0"/>
        <v>0</v>
      </c>
      <c r="E55" s="272">
        <f t="shared" si="1"/>
        <v>0</v>
      </c>
    </row>
    <row r="56" spans="1:5" ht="15">
      <c r="A56" s="181">
        <v>39</v>
      </c>
      <c r="B56" s="182" t="s">
        <v>63</v>
      </c>
      <c r="C56" s="270">
        <f>'39-Клон 28'!G35</f>
        <v>0</v>
      </c>
      <c r="D56" s="270">
        <f t="shared" si="0"/>
        <v>0</v>
      </c>
      <c r="E56" s="270">
        <f t="shared" si="1"/>
        <v>0</v>
      </c>
    </row>
    <row r="57" spans="1:5" ht="15.75" customHeight="1">
      <c r="A57" s="181">
        <v>40</v>
      </c>
      <c r="B57" s="182" t="s">
        <v>166</v>
      </c>
      <c r="C57" s="270">
        <f>'40-Клон 13'!G44</f>
        <v>0</v>
      </c>
      <c r="D57" s="270">
        <f t="shared" si="0"/>
        <v>0</v>
      </c>
      <c r="E57" s="270">
        <f t="shared" si="1"/>
        <v>0</v>
      </c>
    </row>
    <row r="58" spans="1:5" s="265" customFormat="1" ht="15.75" customHeight="1">
      <c r="A58" s="181">
        <v>41</v>
      </c>
      <c r="B58" s="215" t="s">
        <v>120</v>
      </c>
      <c r="C58" s="272">
        <f>'41-Отл.к-л 7 и напор КПС Север'!G72</f>
        <v>0</v>
      </c>
      <c r="D58" s="272">
        <f t="shared" si="0"/>
        <v>0</v>
      </c>
      <c r="E58" s="272">
        <f t="shared" si="1"/>
        <v>0</v>
      </c>
    </row>
    <row r="59" spans="1:5" ht="15">
      <c r="A59" s="181">
        <v>42</v>
      </c>
      <c r="B59" s="182" t="s">
        <v>167</v>
      </c>
      <c r="C59" s="270">
        <f>'42-Клон 25'!G35</f>
        <v>0</v>
      </c>
      <c r="D59" s="270">
        <f t="shared" si="0"/>
        <v>0</v>
      </c>
      <c r="E59" s="270">
        <f t="shared" si="1"/>
        <v>0</v>
      </c>
    </row>
    <row r="60" spans="1:5" ht="15">
      <c r="A60" s="181">
        <v>43</v>
      </c>
      <c r="B60" s="182" t="s">
        <v>168</v>
      </c>
      <c r="C60" s="270">
        <f>'43-Клон 26'!G46</f>
        <v>0</v>
      </c>
      <c r="D60" s="270">
        <f t="shared" si="0"/>
        <v>0</v>
      </c>
      <c r="E60" s="270">
        <f t="shared" si="1"/>
        <v>0</v>
      </c>
    </row>
    <row r="61" spans="1:5" ht="15">
      <c r="A61" s="181">
        <v>44</v>
      </c>
      <c r="B61" s="182" t="s">
        <v>169</v>
      </c>
      <c r="C61" s="270">
        <f>'44-Клон 27'!G46</f>
        <v>0</v>
      </c>
      <c r="D61" s="270">
        <f t="shared" si="0"/>
        <v>0</v>
      </c>
      <c r="E61" s="270">
        <f t="shared" si="1"/>
        <v>0</v>
      </c>
    </row>
    <row r="62" spans="1:5" ht="15">
      <c r="A62" s="181">
        <v>45</v>
      </c>
      <c r="B62" s="182" t="s">
        <v>119</v>
      </c>
      <c r="C62" s="270">
        <f>'45-Напорен от ПС"ИЗТОК"'!G21</f>
        <v>0</v>
      </c>
      <c r="D62" s="270">
        <f t="shared" si="0"/>
        <v>0</v>
      </c>
      <c r="E62" s="270">
        <f t="shared" si="1"/>
        <v>0</v>
      </c>
    </row>
    <row r="63" spans="1:5" s="119" customFormat="1" ht="6" thickBot="1">
      <c r="A63" s="190"/>
      <c r="B63" s="125"/>
      <c r="C63" s="126"/>
      <c r="D63" s="126"/>
      <c r="E63" s="126"/>
    </row>
    <row r="64" spans="1:5" ht="15.75" customHeight="1" thickBot="1">
      <c r="A64" s="482" t="s">
        <v>403</v>
      </c>
      <c r="B64" s="483"/>
      <c r="C64" s="273">
        <f>SUM(C18:C62)</f>
        <v>0</v>
      </c>
      <c r="D64" s="274">
        <f>SUM(D18:D62)</f>
        <v>0</v>
      </c>
      <c r="E64" s="275">
        <f>SUM(E18:E62)</f>
        <v>0</v>
      </c>
    </row>
    <row r="65" spans="1:5" ht="15">
      <c r="A65" s="33"/>
      <c r="B65" s="62"/>
      <c r="E65" s="276"/>
    </row>
    <row r="66" spans="1:5" ht="15">
      <c r="A66" s="277" t="s">
        <v>608</v>
      </c>
      <c r="B66" s="278" t="s">
        <v>398</v>
      </c>
      <c r="C66" s="279"/>
      <c r="D66" s="279"/>
      <c r="E66" s="280"/>
    </row>
    <row r="67" spans="1:5" s="119" customFormat="1" ht="5.25">
      <c r="A67" s="286"/>
      <c r="B67" s="287"/>
      <c r="C67" s="263"/>
      <c r="D67" s="263"/>
      <c r="E67" s="264"/>
    </row>
    <row r="68" spans="1:5" s="271" customFormat="1" ht="15">
      <c r="A68" s="181">
        <v>46</v>
      </c>
      <c r="B68" s="182" t="s">
        <v>400</v>
      </c>
      <c r="C68" s="270">
        <f>КПС_Изток!G285</f>
        <v>0</v>
      </c>
      <c r="D68" s="270">
        <f>C68*0.2</f>
        <v>0</v>
      </c>
      <c r="E68" s="270">
        <f>C68+D68</f>
        <v>0</v>
      </c>
    </row>
    <row r="69" spans="1:5" s="271" customFormat="1" ht="15">
      <c r="A69" s="181">
        <v>47</v>
      </c>
      <c r="B69" s="182" t="s">
        <v>401</v>
      </c>
      <c r="C69" s="270">
        <f>КПС_Север!G296</f>
        <v>0</v>
      </c>
      <c r="D69" s="270">
        <f>C69*0.2</f>
        <v>0</v>
      </c>
      <c r="E69" s="270">
        <f>C69+D69</f>
        <v>0</v>
      </c>
    </row>
    <row r="70" spans="1:5" s="271" customFormat="1" ht="15">
      <c r="A70" s="181">
        <v>48</v>
      </c>
      <c r="B70" s="182" t="s">
        <v>402</v>
      </c>
      <c r="C70" s="270">
        <f>КПС_Юг!G145</f>
        <v>0</v>
      </c>
      <c r="D70" s="270">
        <f>C70*0.2</f>
        <v>0</v>
      </c>
      <c r="E70" s="270">
        <f>C70+D70</f>
        <v>0</v>
      </c>
    </row>
    <row r="71" s="119" customFormat="1" ht="6" thickBot="1">
      <c r="A71" s="353"/>
    </row>
    <row r="72" spans="1:5" ht="15.75" customHeight="1" thickBot="1">
      <c r="A72" s="482" t="s">
        <v>404</v>
      </c>
      <c r="B72" s="483"/>
      <c r="C72" s="273">
        <f>SUM(C68:C70)</f>
        <v>0</v>
      </c>
      <c r="D72" s="274">
        <f>0.2*C72</f>
        <v>0</v>
      </c>
      <c r="E72" s="275">
        <f>D72+C72</f>
        <v>0</v>
      </c>
    </row>
    <row r="73" s="285" customFormat="1" ht="12" thickBot="1">
      <c r="A73" s="354"/>
    </row>
    <row r="74" spans="1:5" ht="15.75" customHeight="1" thickBot="1">
      <c r="A74" s="482" t="s">
        <v>610</v>
      </c>
      <c r="B74" s="483"/>
      <c r="C74" s="537">
        <f>C64+C72</f>
        <v>0</v>
      </c>
      <c r="D74" s="537">
        <f>D64+D72</f>
        <v>0</v>
      </c>
      <c r="E74" s="538">
        <f>E64+E72</f>
        <v>0</v>
      </c>
    </row>
    <row r="76" spans="1:5" s="531" customFormat="1" ht="15.75">
      <c r="A76" s="527" t="s">
        <v>397</v>
      </c>
      <c r="B76" s="528" t="s">
        <v>609</v>
      </c>
      <c r="C76" s="529"/>
      <c r="D76" s="529"/>
      <c r="E76" s="530"/>
    </row>
    <row r="77" spans="1:5" s="120" customFormat="1" ht="5.25">
      <c r="A77" s="532"/>
      <c r="B77" s="532"/>
      <c r="C77" s="263"/>
      <c r="D77" s="263"/>
      <c r="E77" s="263"/>
    </row>
    <row r="78" spans="1:5" ht="15">
      <c r="A78" s="181" t="s">
        <v>601</v>
      </c>
      <c r="B78" s="540" t="s">
        <v>604</v>
      </c>
      <c r="C78" s="539">
        <f>'Аварийно захранване КПС "Юг"'!G13</f>
        <v>0</v>
      </c>
      <c r="D78" s="539">
        <f>C78*0.2</f>
        <v>0</v>
      </c>
      <c r="E78" s="539">
        <f>C78+D78</f>
        <v>0</v>
      </c>
    </row>
    <row r="79" ht="15.75" thickBot="1"/>
    <row r="80" spans="1:5" s="533" customFormat="1" ht="16.5" thickBot="1">
      <c r="A80" s="534" t="s">
        <v>526</v>
      </c>
      <c r="B80" s="535"/>
      <c r="C80" s="536">
        <f>C74+C78</f>
        <v>0</v>
      </c>
      <c r="D80" s="536">
        <f>0.2*C80</f>
        <v>0</v>
      </c>
      <c r="E80" s="536">
        <f>D80+C80</f>
        <v>0</v>
      </c>
    </row>
    <row r="86" spans="1:4" s="67" customFormat="1" ht="15">
      <c r="A86" s="65" t="s">
        <v>373</v>
      </c>
      <c r="B86" s="2"/>
      <c r="C86" s="66" t="s">
        <v>374</v>
      </c>
      <c r="D86" s="24"/>
    </row>
    <row r="87" spans="1:4" s="67" customFormat="1" ht="12.75">
      <c r="A87" s="355"/>
      <c r="B87" s="2"/>
      <c r="C87" s="2"/>
      <c r="D87" s="24"/>
    </row>
    <row r="88" spans="1:4" s="67" customFormat="1" ht="14.25">
      <c r="A88" s="355"/>
      <c r="B88" s="2"/>
      <c r="C88" s="69" t="s">
        <v>375</v>
      </c>
      <c r="D88" s="24"/>
    </row>
    <row r="89" spans="1:4" s="67" customFormat="1" ht="12.75">
      <c r="A89" s="355"/>
      <c r="B89" s="2"/>
      <c r="C89" s="2"/>
      <c r="D89" s="70" t="s">
        <v>376</v>
      </c>
    </row>
    <row r="90" spans="1:4" s="67" customFormat="1" ht="14.25">
      <c r="A90" s="355"/>
      <c r="B90" s="2"/>
      <c r="C90" s="69" t="s">
        <v>377</v>
      </c>
      <c r="D90" s="24"/>
    </row>
    <row r="91" spans="1:4" s="67" customFormat="1" ht="12.75">
      <c r="A91" s="355"/>
      <c r="B91" s="2"/>
      <c r="C91" s="71" t="s">
        <v>378</v>
      </c>
      <c r="D91" s="24"/>
    </row>
  </sheetData>
  <sheetProtection sheet="1" formatCells="0" formatColumns="0" formatRows="0" insertColumns="0" insertRows="0" insertHyperlinks="0" deleteColumns="0" deleteRows="0"/>
  <protectedRanges>
    <protectedRange password="CF7A" sqref="A86:D91" name="Range1_1"/>
  </protectedRanges>
  <mergeCells count="10">
    <mergeCell ref="A80:B80"/>
    <mergeCell ref="B3:E3"/>
    <mergeCell ref="B4:E4"/>
    <mergeCell ref="A74:B74"/>
    <mergeCell ref="A6:E6"/>
    <mergeCell ref="A8:E8"/>
    <mergeCell ref="A11:A12"/>
    <mergeCell ref="B11:B12"/>
    <mergeCell ref="A64:B64"/>
    <mergeCell ref="A72:B72"/>
  </mergeCells>
  <printOptions horizontalCentered="1"/>
  <pageMargins left="0.7480314960629921" right="0.1968503937007874" top="0.31496062992125984" bottom="0.2755905511811024" header="0.1968503937007874" footer="0.1968503937007874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00390625" style="320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588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18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17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242.45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62.78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503"/>
      <c r="C11" s="490"/>
      <c r="D11" s="489"/>
      <c r="E11" s="489"/>
      <c r="F11" s="490"/>
      <c r="G11" s="490"/>
      <c r="H11" s="14"/>
      <c r="I11" s="48">
        <v>182.74</v>
      </c>
      <c r="J11" s="48"/>
      <c r="K11" s="47"/>
      <c r="L11" s="48" t="s">
        <v>213</v>
      </c>
      <c r="M11" s="48">
        <v>147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39.15</v>
      </c>
      <c r="J12" s="48"/>
      <c r="K12" s="47"/>
      <c r="L12" s="48" t="s">
        <v>209</v>
      </c>
      <c r="M12" s="5">
        <v>1.65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294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204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M8*3*2+O8*5*2</f>
        <v>102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4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242.54999999999998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M8*M9*3+O8*O11*6</f>
        <v>61.199999999999996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M8*1+O10*1</f>
        <v>17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M8*2+O10*2</f>
        <v>34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33.775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08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0.7*I22</f>
        <v>368.984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0.05*I22</f>
        <v>26.356</v>
      </c>
      <c r="F22" s="377"/>
      <c r="G22" s="52">
        <f>E22*F22</f>
        <v>0</v>
      </c>
      <c r="H22" s="7"/>
      <c r="I22" s="76">
        <f>SUM(I9:I21)</f>
        <v>527.12</v>
      </c>
      <c r="J22" s="76">
        <f>SUM(J9:J21)</f>
        <v>0</v>
      </c>
      <c r="K22" s="48">
        <f>SUM(I22:J22)</f>
        <v>527.12</v>
      </c>
      <c r="L22" s="34"/>
    </row>
    <row r="23" spans="1:11" ht="16.5">
      <c r="A23" s="498">
        <f>A22+1</f>
        <v>11</v>
      </c>
      <c r="B23" s="393"/>
      <c r="C23" s="49" t="s">
        <v>265</v>
      </c>
      <c r="D23" s="50" t="s">
        <v>385</v>
      </c>
      <c r="E23" s="51">
        <f>0.25*I22</f>
        <v>131.78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09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93"/>
      <c r="C25" s="49" t="s">
        <v>199</v>
      </c>
      <c r="D25" s="50" t="s">
        <v>385</v>
      </c>
      <c r="E25" s="51">
        <f>0.6*M13</f>
        <v>122.39999999999999</v>
      </c>
      <c r="F25" s="377"/>
      <c r="G25" s="52">
        <f aca="true" t="shared" si="1" ref="G25:G41">E25*F25</f>
        <v>0</v>
      </c>
      <c r="H25" s="7"/>
      <c r="J25" s="34"/>
      <c r="K25" s="34"/>
    </row>
    <row r="26" spans="1:11" ht="16.5">
      <c r="A26" s="497"/>
      <c r="B26" s="393"/>
      <c r="C26" s="53" t="s">
        <v>266</v>
      </c>
      <c r="D26" s="50" t="s">
        <v>385</v>
      </c>
      <c r="E26" s="51">
        <f>0.05*M13</f>
        <v>10.200000000000001</v>
      </c>
      <c r="F26" s="377"/>
      <c r="G26" s="52">
        <f t="shared" si="1"/>
        <v>0</v>
      </c>
      <c r="H26" s="7"/>
      <c r="I26" s="34"/>
      <c r="J26" s="34"/>
      <c r="K26" s="34"/>
    </row>
    <row r="27" spans="1:11" ht="16.5" customHeight="1">
      <c r="A27" s="498"/>
      <c r="B27" s="393"/>
      <c r="C27" s="49" t="s">
        <v>267</v>
      </c>
      <c r="D27" s="50" t="s">
        <v>385</v>
      </c>
      <c r="E27" s="51">
        <f>0.35*M13</f>
        <v>71.39999999999999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203.18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203.18</v>
      </c>
      <c r="F29" s="377"/>
      <c r="G29" s="52">
        <f t="shared" si="1"/>
        <v>0</v>
      </c>
      <c r="H29" s="7"/>
      <c r="I29" s="34"/>
      <c r="J29" s="34"/>
      <c r="K29" s="34"/>
    </row>
    <row r="30" spans="1:11" ht="16.5">
      <c r="A30" s="48">
        <v>12</v>
      </c>
      <c r="B30" s="393"/>
      <c r="C30" s="80" t="s">
        <v>72</v>
      </c>
      <c r="D30" s="50" t="s">
        <v>385</v>
      </c>
      <c r="E30" s="51">
        <f>K22+M13</f>
        <v>731.12</v>
      </c>
      <c r="F30" s="377"/>
      <c r="G30" s="52">
        <f t="shared" si="1"/>
        <v>0</v>
      </c>
      <c r="H30" s="7"/>
      <c r="I30" s="34"/>
      <c r="K30" s="34"/>
    </row>
    <row r="31" spans="1:11" ht="16.5">
      <c r="A31" s="48">
        <v>13</v>
      </c>
      <c r="B31" s="393"/>
      <c r="C31" s="49" t="s">
        <v>387</v>
      </c>
      <c r="D31" s="48" t="s">
        <v>386</v>
      </c>
      <c r="E31" s="48">
        <f>M11*4</f>
        <v>588</v>
      </c>
      <c r="F31" s="377"/>
      <c r="G31" s="52">
        <f t="shared" si="1"/>
        <v>0</v>
      </c>
      <c r="H31" s="7"/>
      <c r="I31" s="34"/>
      <c r="K31" s="51"/>
    </row>
    <row r="32" spans="1:15" s="30" customFormat="1" ht="15" customHeight="1">
      <c r="A32" s="48">
        <v>14</v>
      </c>
      <c r="B32" s="393"/>
      <c r="C32" s="80" t="s">
        <v>42</v>
      </c>
      <c r="D32" s="50" t="s">
        <v>385</v>
      </c>
      <c r="E32" s="51">
        <f>0.1*1.1*E34+0.1*1.2*E35</f>
        <v>16.71</v>
      </c>
      <c r="F32" s="377"/>
      <c r="G32" s="52">
        <f t="shared" si="1"/>
        <v>0</v>
      </c>
      <c r="H32" s="7"/>
      <c r="I32" s="29"/>
      <c r="K32" s="29"/>
      <c r="L32" s="29"/>
      <c r="N32" s="29"/>
      <c r="O32" s="29"/>
    </row>
    <row r="33" spans="1:8" ht="42.75">
      <c r="A33" s="48">
        <v>15</v>
      </c>
      <c r="B33" s="393"/>
      <c r="C33" s="53" t="s">
        <v>43</v>
      </c>
      <c r="D33" s="50" t="s">
        <v>385</v>
      </c>
      <c r="E33" s="51">
        <f>E30-E32-E45-E46-6.57-6.78</f>
        <v>609.1599999999999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v>93</v>
      </c>
      <c r="F34" s="377"/>
      <c r="G34" s="52">
        <f t="shared" si="1"/>
        <v>0</v>
      </c>
      <c r="H34" s="7"/>
    </row>
    <row r="35" spans="1:13" ht="14.25">
      <c r="A35" s="48">
        <v>17</v>
      </c>
      <c r="B35" s="393"/>
      <c r="C35" s="53" t="s">
        <v>271</v>
      </c>
      <c r="D35" s="48" t="s">
        <v>190</v>
      </c>
      <c r="E35" s="48">
        <v>54</v>
      </c>
      <c r="F35" s="377"/>
      <c r="G35" s="52">
        <f t="shared" si="1"/>
        <v>0</v>
      </c>
      <c r="H35" s="7"/>
      <c r="M35" s="34"/>
    </row>
    <row r="36" spans="1:13" ht="28.5">
      <c r="A36" s="48">
        <v>18</v>
      </c>
      <c r="B36" s="393"/>
      <c r="C36" s="53" t="s">
        <v>309</v>
      </c>
      <c r="D36" s="48" t="s">
        <v>191</v>
      </c>
      <c r="E36" s="48">
        <v>4</v>
      </c>
      <c r="F36" s="377"/>
      <c r="G36" s="52">
        <f t="shared" si="1"/>
        <v>0</v>
      </c>
      <c r="H36" s="7"/>
      <c r="M36" s="34"/>
    </row>
    <row r="37" spans="1:13" ht="14.25">
      <c r="A37" s="48">
        <v>19</v>
      </c>
      <c r="B37" s="393"/>
      <c r="C37" s="53" t="s">
        <v>200</v>
      </c>
      <c r="D37" s="48" t="s">
        <v>191</v>
      </c>
      <c r="E37" s="48">
        <f>M8</f>
        <v>17</v>
      </c>
      <c r="F37" s="377"/>
      <c r="G37" s="52">
        <f t="shared" si="1"/>
        <v>0</v>
      </c>
      <c r="H37" s="7"/>
      <c r="M37" s="34"/>
    </row>
    <row r="38" spans="1:13" ht="30" customHeight="1">
      <c r="A38" s="48">
        <v>20</v>
      </c>
      <c r="B38" s="393"/>
      <c r="C38" s="53" t="s">
        <v>233</v>
      </c>
      <c r="D38" s="48" t="s">
        <v>191</v>
      </c>
      <c r="E38" s="51">
        <v>2</v>
      </c>
      <c r="F38" s="377"/>
      <c r="G38" s="52">
        <f t="shared" si="1"/>
        <v>0</v>
      </c>
      <c r="H38" s="7"/>
      <c r="M38" s="34"/>
    </row>
    <row r="39" spans="1:13" ht="14.25">
      <c r="A39" s="48">
        <v>21</v>
      </c>
      <c r="B39" s="393"/>
      <c r="C39" s="49" t="s">
        <v>192</v>
      </c>
      <c r="D39" s="48" t="s">
        <v>193</v>
      </c>
      <c r="E39" s="51">
        <f>40*M11/2000</f>
        <v>2.94</v>
      </c>
      <c r="F39" s="377"/>
      <c r="G39" s="52">
        <f t="shared" si="1"/>
        <v>0</v>
      </c>
      <c r="H39" s="34"/>
      <c r="I39" s="34"/>
      <c r="M39" s="34"/>
    </row>
    <row r="40" spans="1:8" ht="14.25">
      <c r="A40" s="48">
        <v>22</v>
      </c>
      <c r="B40" s="393"/>
      <c r="C40" s="95" t="s">
        <v>282</v>
      </c>
      <c r="D40" s="48" t="s">
        <v>190</v>
      </c>
      <c r="E40" s="51">
        <f>E17</f>
        <v>17</v>
      </c>
      <c r="F40" s="377"/>
      <c r="G40" s="52">
        <f t="shared" si="1"/>
        <v>0</v>
      </c>
      <c r="H40" s="7"/>
    </row>
    <row r="41" spans="1:15" ht="16.5">
      <c r="A41" s="48">
        <v>23</v>
      </c>
      <c r="B41" s="393"/>
      <c r="C41" s="95" t="s">
        <v>283</v>
      </c>
      <c r="D41" s="48" t="s">
        <v>386</v>
      </c>
      <c r="E41" s="51">
        <f>E18</f>
        <v>34</v>
      </c>
      <c r="F41" s="377"/>
      <c r="G41" s="52">
        <f t="shared" si="1"/>
        <v>0</v>
      </c>
      <c r="H41" s="7"/>
      <c r="N41" s="30"/>
      <c r="O41" s="30"/>
    </row>
    <row r="42" spans="1:15" ht="28.5">
      <c r="A42" s="48">
        <v>24</v>
      </c>
      <c r="B42" s="393"/>
      <c r="C42" s="77" t="s">
        <v>293</v>
      </c>
      <c r="D42" s="48" t="s">
        <v>195</v>
      </c>
      <c r="E42" s="82">
        <f>(E15+E16)*96/1000</f>
        <v>29.16</v>
      </c>
      <c r="F42" s="377"/>
      <c r="G42" s="52">
        <f aca="true" t="shared" si="2" ref="G42:G48">E42*F42</f>
        <v>0</v>
      </c>
      <c r="H42" s="7"/>
      <c r="N42" s="30"/>
      <c r="O42" s="30"/>
    </row>
    <row r="43" spans="1:15" s="2" customFormat="1" ht="28.5">
      <c r="A43" s="48">
        <v>25</v>
      </c>
      <c r="B43" s="393"/>
      <c r="C43" s="77" t="s">
        <v>294</v>
      </c>
      <c r="D43" s="48" t="s">
        <v>195</v>
      </c>
      <c r="E43" s="51">
        <v>10.2</v>
      </c>
      <c r="F43" s="377"/>
      <c r="G43" s="52">
        <f t="shared" si="2"/>
        <v>0</v>
      </c>
      <c r="H43" s="7"/>
      <c r="I43" s="29"/>
      <c r="J43" s="29"/>
      <c r="K43" s="29"/>
      <c r="L43" s="29"/>
      <c r="M43" s="3"/>
      <c r="N43" s="29"/>
      <c r="O43" s="29"/>
    </row>
    <row r="44" spans="1:15" s="30" customFormat="1" ht="28.5">
      <c r="A44" s="48">
        <v>26</v>
      </c>
      <c r="B44" s="393"/>
      <c r="C44" s="53" t="s">
        <v>295</v>
      </c>
      <c r="D44" s="83" t="s">
        <v>195</v>
      </c>
      <c r="E44" s="51">
        <f>(E15+E16)*0.06*2.4</f>
        <v>43.739999999999995</v>
      </c>
      <c r="F44" s="377"/>
      <c r="G44" s="52">
        <f t="shared" si="2"/>
        <v>0</v>
      </c>
      <c r="H44" s="7"/>
      <c r="I44" s="29"/>
      <c r="J44" s="29"/>
      <c r="K44" s="29"/>
      <c r="L44" s="29"/>
      <c r="N44" s="29"/>
      <c r="O44" s="29"/>
    </row>
    <row r="45" spans="1:8" ht="28.5">
      <c r="A45" s="48">
        <v>27</v>
      </c>
      <c r="B45" s="393"/>
      <c r="C45" s="53" t="s">
        <v>298</v>
      </c>
      <c r="D45" s="83" t="s">
        <v>385</v>
      </c>
      <c r="E45" s="85">
        <v>33.31</v>
      </c>
      <c r="F45" s="377"/>
      <c r="G45" s="52">
        <f t="shared" si="2"/>
        <v>0</v>
      </c>
      <c r="H45" s="7"/>
    </row>
    <row r="46" spans="1:15" s="2" customFormat="1" ht="28.5">
      <c r="A46" s="48">
        <v>28</v>
      </c>
      <c r="B46" s="393"/>
      <c r="C46" s="53" t="s">
        <v>21</v>
      </c>
      <c r="D46" s="83" t="s">
        <v>385</v>
      </c>
      <c r="E46" s="85">
        <v>58.59</v>
      </c>
      <c r="F46" s="377"/>
      <c r="G46" s="52">
        <f t="shared" si="2"/>
        <v>0</v>
      </c>
      <c r="H46" s="7"/>
      <c r="I46" s="29"/>
      <c r="J46" s="29"/>
      <c r="K46" s="29"/>
      <c r="L46" s="29"/>
      <c r="M46" s="3"/>
      <c r="N46" s="3"/>
      <c r="O46" s="6"/>
    </row>
    <row r="47" spans="1:15" s="2" customFormat="1" ht="14.25">
      <c r="A47" s="48">
        <v>29</v>
      </c>
      <c r="B47" s="393"/>
      <c r="C47" s="77" t="s">
        <v>194</v>
      </c>
      <c r="D47" s="74" t="s">
        <v>190</v>
      </c>
      <c r="E47" s="85">
        <f>E13+E14</f>
        <v>396</v>
      </c>
      <c r="F47" s="377"/>
      <c r="G47" s="52">
        <f t="shared" si="2"/>
        <v>0</v>
      </c>
      <c r="H47" s="7"/>
      <c r="I47" s="29"/>
      <c r="J47" s="29"/>
      <c r="K47" s="29"/>
      <c r="L47" s="29"/>
      <c r="M47" s="30"/>
      <c r="N47" s="30"/>
      <c r="O47" s="30"/>
    </row>
    <row r="48" spans="1:15" s="2" customFormat="1" ht="14.25">
      <c r="A48" s="48">
        <v>30</v>
      </c>
      <c r="B48" s="393"/>
      <c r="C48" s="55" t="s">
        <v>201</v>
      </c>
      <c r="D48" s="50" t="s">
        <v>190</v>
      </c>
      <c r="E48" s="50">
        <f>M11</f>
        <v>147</v>
      </c>
      <c r="F48" s="377"/>
      <c r="G48" s="52">
        <f t="shared" si="2"/>
        <v>0</v>
      </c>
      <c r="H48" s="7"/>
      <c r="I48" s="29"/>
      <c r="J48" s="29"/>
      <c r="K48" s="29"/>
      <c r="L48" s="29"/>
      <c r="M48" s="3"/>
      <c r="N48" s="29"/>
      <c r="O48" s="29"/>
    </row>
    <row r="49" spans="5:7" ht="15">
      <c r="E49" s="57"/>
      <c r="F49" s="58" t="s">
        <v>364</v>
      </c>
      <c r="G49" s="59">
        <f>SUM(G13:G48)</f>
        <v>0</v>
      </c>
    </row>
    <row r="50" spans="5:7" ht="15">
      <c r="E50" s="484" t="s">
        <v>206</v>
      </c>
      <c r="F50" s="484"/>
      <c r="G50" s="59">
        <f>G49*0.2</f>
        <v>0</v>
      </c>
    </row>
    <row r="51" spans="3:7" ht="15" customHeight="1">
      <c r="C51" s="26"/>
      <c r="E51" s="57"/>
      <c r="F51" s="60" t="s">
        <v>365</v>
      </c>
      <c r="G51" s="59">
        <f>SUM(G49:G50)</f>
        <v>0</v>
      </c>
    </row>
    <row r="52" spans="3:5" ht="14.25">
      <c r="C52" s="61"/>
      <c r="D52" s="62"/>
      <c r="E52" s="62"/>
    </row>
    <row r="53" spans="2:16" ht="18.75">
      <c r="B53" s="321" t="s">
        <v>370</v>
      </c>
      <c r="C53" s="64" t="s">
        <v>371</v>
      </c>
      <c r="D53" s="62"/>
      <c r="E53" s="62"/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5" customHeight="1">
      <c r="H55" s="28"/>
      <c r="I55" s="28"/>
      <c r="J55" s="28"/>
      <c r="K55" s="28"/>
      <c r="L55" s="28"/>
      <c r="M55" s="28"/>
      <c r="N55" s="28"/>
      <c r="O55" s="28"/>
      <c r="P55" s="28"/>
    </row>
    <row r="56" spans="8:16" ht="14.25">
      <c r="H56" s="28"/>
      <c r="I56" s="28"/>
      <c r="J56" s="28"/>
      <c r="K56" s="28"/>
      <c r="L56" s="28"/>
      <c r="M56" s="28"/>
      <c r="N56" s="28"/>
      <c r="O56" s="28"/>
      <c r="P56" s="28"/>
    </row>
    <row r="57" spans="1:6" s="67" customFormat="1" ht="15">
      <c r="A57" s="65" t="s">
        <v>373</v>
      </c>
      <c r="B57" s="322"/>
      <c r="C57" s="65"/>
      <c r="D57" s="66" t="s">
        <v>374</v>
      </c>
      <c r="E57" s="24"/>
      <c r="F57" s="426"/>
    </row>
    <row r="58" spans="1:6" s="67" customFormat="1" ht="12.75">
      <c r="A58" s="11"/>
      <c r="B58" s="322"/>
      <c r="C58" s="11"/>
      <c r="D58" s="2"/>
      <c r="E58" s="24"/>
      <c r="F58" s="426"/>
    </row>
    <row r="59" spans="1:6" s="67" customFormat="1" ht="14.25">
      <c r="A59" s="11"/>
      <c r="B59" s="322"/>
      <c r="C59" s="68"/>
      <c r="D59" s="69" t="s">
        <v>375</v>
      </c>
      <c r="E59" s="24"/>
      <c r="F59" s="426"/>
    </row>
    <row r="60" spans="1:6" s="67" customFormat="1" ht="12.75">
      <c r="A60" s="11"/>
      <c r="B60" s="322"/>
      <c r="C60" s="11"/>
      <c r="D60" s="2"/>
      <c r="E60" s="70" t="s">
        <v>376</v>
      </c>
      <c r="F60" s="426"/>
    </row>
    <row r="61" spans="1:6" s="67" customFormat="1" ht="14.25">
      <c r="A61" s="11"/>
      <c r="B61" s="322"/>
      <c r="C61" s="68"/>
      <c r="D61" s="69" t="s">
        <v>377</v>
      </c>
      <c r="E61" s="24"/>
      <c r="F61" s="426"/>
    </row>
    <row r="62" spans="1:6" s="67" customFormat="1" ht="12.75">
      <c r="A62" s="11"/>
      <c r="B62" s="322"/>
      <c r="C62" s="11"/>
      <c r="D62" s="71" t="s">
        <v>378</v>
      </c>
      <c r="E62" s="24"/>
      <c r="F62" s="426"/>
    </row>
  </sheetData>
  <sheetProtection sheet="1" formatCells="0" formatColumns="0" formatRows="0" insertColumns="0" insertRows="0" insertHyperlinks="0" deleteColumns="0" deleteRows="0"/>
  <protectedRanges>
    <protectedRange password="CF7A" sqref="A53:E62" name="Range1"/>
    <protectedRange password="CF7A" sqref="A9:A12 C9:E12 B9:B10 B12" name="Range1_2"/>
    <protectedRange password="CF7A" sqref="F50 E49:E51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50:F50"/>
    <mergeCell ref="A24:A27"/>
    <mergeCell ref="A20:A23"/>
    <mergeCell ref="A6:E7"/>
    <mergeCell ref="A9:E9"/>
    <mergeCell ref="A8:G8"/>
    <mergeCell ref="A10:A11"/>
    <mergeCell ref="B10:B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71093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589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19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38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317.02</v>
      </c>
      <c r="J9" s="73">
        <v>617.4</v>
      </c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74.25</v>
      </c>
      <c r="J10" s="48">
        <v>123.75</v>
      </c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84.24</v>
      </c>
      <c r="J11" s="48"/>
      <c r="K11" s="47"/>
      <c r="L11" s="48" t="s">
        <v>213</v>
      </c>
      <c r="M11" s="48">
        <v>465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18.85</v>
      </c>
      <c r="J12" s="48"/>
      <c r="K12" s="47"/>
      <c r="L12" s="48" t="s">
        <v>209</v>
      </c>
      <c r="M12" s="5">
        <v>1.85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930</v>
      </c>
      <c r="F13" s="377"/>
      <c r="G13" s="52">
        <f aca="true" t="shared" si="0" ref="G13:G19">E13*F13</f>
        <v>0</v>
      </c>
      <c r="H13" s="7"/>
      <c r="I13" s="48">
        <v>273</v>
      </c>
      <c r="J13" s="48"/>
      <c r="K13" s="47"/>
      <c r="L13" s="48" t="s">
        <v>208</v>
      </c>
      <c r="M13" s="48">
        <f>M8*M9*M10*2</f>
        <v>547.2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</f>
        <v>228</v>
      </c>
      <c r="F14" s="377"/>
      <c r="G14" s="52">
        <f t="shared" si="0"/>
        <v>0</v>
      </c>
      <c r="H14" s="7"/>
      <c r="I14" s="48">
        <v>58.13</v>
      </c>
      <c r="J14" s="48"/>
      <c r="K14" s="47"/>
      <c r="L14" s="48" t="s">
        <v>212</v>
      </c>
      <c r="M14" s="48">
        <v>13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860.25</v>
      </c>
      <c r="F15" s="377"/>
      <c r="G15" s="52">
        <f t="shared" si="0"/>
        <v>0</v>
      </c>
      <c r="H15" s="7"/>
      <c r="I15" s="48">
        <v>412.04</v>
      </c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</f>
        <v>136.8</v>
      </c>
      <c r="F16" s="377"/>
      <c r="G16" s="52">
        <f t="shared" si="0"/>
        <v>0</v>
      </c>
      <c r="H16" s="7"/>
      <c r="I16" s="48">
        <v>85.8</v>
      </c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38</v>
      </c>
      <c r="F17" s="377"/>
      <c r="G17" s="52">
        <f t="shared" si="0"/>
        <v>0</v>
      </c>
      <c r="H17" s="7"/>
      <c r="I17" s="76">
        <f>SUM(I9:I16)</f>
        <v>1323.33</v>
      </c>
      <c r="J17" s="76">
        <f>SUM(J9:J16)</f>
        <v>741.15</v>
      </c>
      <c r="K17" s="48">
        <f>SUM(I17:J17)</f>
        <v>2064.48</v>
      </c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76</v>
      </c>
      <c r="F18" s="377"/>
      <c r="G18" s="52">
        <f t="shared" si="0"/>
        <v>0</v>
      </c>
      <c r="H18" s="7"/>
      <c r="I18" s="34"/>
      <c r="J18" s="34"/>
      <c r="K18" s="34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107.305</v>
      </c>
      <c r="F19" s="377"/>
      <c r="G19" s="52">
        <f t="shared" si="0"/>
        <v>0</v>
      </c>
      <c r="H19" s="7"/>
      <c r="I19" s="34"/>
      <c r="J19" s="34"/>
      <c r="K19" s="34"/>
      <c r="L19" s="34"/>
      <c r="M19" s="34"/>
    </row>
    <row r="20" spans="1:12" ht="28.5">
      <c r="A20" s="496">
        <v>8</v>
      </c>
      <c r="B20" s="428"/>
      <c r="C20" s="44" t="s">
        <v>198</v>
      </c>
      <c r="D20" s="43"/>
      <c r="E20" s="43"/>
      <c r="F20" s="45"/>
      <c r="G20" s="45"/>
      <c r="H20" s="7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0.7*I17</f>
        <v>926.3309999999999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0.05*I17</f>
        <v>66.1665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0.25*I17</f>
        <v>330.8325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29"/>
      <c r="C24" s="53" t="s">
        <v>202</v>
      </c>
      <c r="D24" s="48"/>
      <c r="E24" s="48"/>
      <c r="F24" s="52"/>
      <c r="G24" s="52"/>
      <c r="H24" s="7"/>
      <c r="J24" s="34"/>
      <c r="K24" s="34"/>
    </row>
    <row r="25" spans="1:12" ht="16.5">
      <c r="A25" s="497">
        <f>A24+1</f>
        <v>10</v>
      </c>
      <c r="B25" s="357"/>
      <c r="C25" s="49" t="s">
        <v>264</v>
      </c>
      <c r="D25" s="50" t="s">
        <v>385</v>
      </c>
      <c r="E25" s="51">
        <f>0.7*J17</f>
        <v>518.805</v>
      </c>
      <c r="F25" s="377"/>
      <c r="G25" s="52">
        <f>E25*F25</f>
        <v>0</v>
      </c>
      <c r="H25" s="7"/>
      <c r="I25" s="34"/>
      <c r="J25" s="34"/>
      <c r="K25" s="34"/>
      <c r="L25" s="34"/>
    </row>
    <row r="26" spans="1:11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0.05*J17</f>
        <v>37.0575</v>
      </c>
      <c r="F26" s="377"/>
      <c r="G26" s="52">
        <f>E26*F26</f>
        <v>0</v>
      </c>
      <c r="H26" s="7"/>
      <c r="I26" s="34"/>
      <c r="J26" s="34"/>
      <c r="K26" s="34"/>
    </row>
    <row r="27" spans="1:11" ht="15" customHeight="1">
      <c r="A27" s="498">
        <f>A26+1</f>
        <v>12</v>
      </c>
      <c r="B27" s="357"/>
      <c r="C27" s="49" t="s">
        <v>265</v>
      </c>
      <c r="D27" s="50" t="s">
        <v>385</v>
      </c>
      <c r="E27" s="51">
        <f>0.25*J17</f>
        <v>185.2875</v>
      </c>
      <c r="F27" s="377"/>
      <c r="G27" s="52">
        <f>E27*F27</f>
        <v>0</v>
      </c>
      <c r="H27" s="7"/>
      <c r="I27" s="34"/>
      <c r="J27" s="34"/>
      <c r="K27" s="34"/>
    </row>
    <row r="28" spans="1:11" ht="28.5">
      <c r="A28" s="496">
        <v>10</v>
      </c>
      <c r="B28" s="429"/>
      <c r="C28" s="53" t="s">
        <v>244</v>
      </c>
      <c r="D28" s="96"/>
      <c r="E28" s="96"/>
      <c r="F28" s="52"/>
      <c r="G28" s="97"/>
      <c r="H28" s="7"/>
      <c r="I28" s="34"/>
      <c r="J28" s="34"/>
      <c r="K28" s="34"/>
    </row>
    <row r="29" spans="1:11" ht="16.5">
      <c r="A29" s="497"/>
      <c r="B29" s="357"/>
      <c r="C29" s="49" t="s">
        <v>199</v>
      </c>
      <c r="D29" s="50" t="s">
        <v>385</v>
      </c>
      <c r="E29" s="51">
        <f>0.6*M13</f>
        <v>328.32</v>
      </c>
      <c r="F29" s="377"/>
      <c r="G29" s="52">
        <f aca="true" t="shared" si="1" ref="G29:G56">E29*F29</f>
        <v>0</v>
      </c>
      <c r="H29" s="7"/>
      <c r="I29" s="34"/>
      <c r="J29" s="34"/>
      <c r="K29" s="34"/>
    </row>
    <row r="30" spans="1:11" ht="16.5" customHeight="1">
      <c r="A30" s="497"/>
      <c r="B30" s="357"/>
      <c r="C30" s="53" t="s">
        <v>266</v>
      </c>
      <c r="D30" s="50" t="s">
        <v>385</v>
      </c>
      <c r="E30" s="51">
        <f>0.05*M13</f>
        <v>27.360000000000003</v>
      </c>
      <c r="F30" s="377"/>
      <c r="G30" s="52">
        <f t="shared" si="1"/>
        <v>0</v>
      </c>
      <c r="H30" s="7"/>
      <c r="I30" s="34"/>
      <c r="J30" s="34"/>
      <c r="K30" s="34"/>
    </row>
    <row r="31" spans="1:11" ht="15" customHeight="1">
      <c r="A31" s="498"/>
      <c r="B31" s="357"/>
      <c r="C31" s="49" t="s">
        <v>267</v>
      </c>
      <c r="D31" s="50" t="s">
        <v>385</v>
      </c>
      <c r="E31" s="51">
        <f>0.35*M13</f>
        <v>191.52</v>
      </c>
      <c r="F31" s="377"/>
      <c r="G31" s="52">
        <f t="shared" si="1"/>
        <v>0</v>
      </c>
      <c r="H31" s="7"/>
      <c r="I31" s="34"/>
      <c r="K31" s="34"/>
    </row>
    <row r="32" spans="1:11" ht="28.5">
      <c r="A32" s="48">
        <v>11</v>
      </c>
      <c r="B32" s="357"/>
      <c r="C32" s="80" t="s">
        <v>196</v>
      </c>
      <c r="D32" s="50" t="s">
        <v>385</v>
      </c>
      <c r="E32" s="51">
        <f>E23+E31+E27</f>
        <v>707.64</v>
      </c>
      <c r="F32" s="377"/>
      <c r="G32" s="52">
        <f t="shared" si="1"/>
        <v>0</v>
      </c>
      <c r="H32" s="7"/>
      <c r="I32" s="34"/>
      <c r="K32" s="51"/>
    </row>
    <row r="33" spans="1:10" ht="16.5">
      <c r="A33" s="48">
        <v>12</v>
      </c>
      <c r="B33" s="357"/>
      <c r="C33" s="55" t="s">
        <v>197</v>
      </c>
      <c r="D33" s="50" t="s">
        <v>385</v>
      </c>
      <c r="E33" s="81">
        <f>E32</f>
        <v>707.64</v>
      </c>
      <c r="F33" s="377"/>
      <c r="G33" s="52">
        <f t="shared" si="1"/>
        <v>0</v>
      </c>
      <c r="H33" s="7"/>
      <c r="J33" s="30"/>
    </row>
    <row r="34" spans="1:8" ht="28.5">
      <c r="A34" s="48">
        <v>13</v>
      </c>
      <c r="B34" s="357"/>
      <c r="C34" s="80" t="s">
        <v>41</v>
      </c>
      <c r="D34" s="50" t="s">
        <v>385</v>
      </c>
      <c r="E34" s="51">
        <f>K17+M13</f>
        <v>2611.6800000000003</v>
      </c>
      <c r="F34" s="377"/>
      <c r="G34" s="52">
        <f t="shared" si="1"/>
        <v>0</v>
      </c>
      <c r="H34" s="7"/>
    </row>
    <row r="35" spans="1:15" s="30" customFormat="1" ht="16.5">
      <c r="A35" s="48">
        <v>14</v>
      </c>
      <c r="B35" s="357"/>
      <c r="C35" s="49" t="s">
        <v>387</v>
      </c>
      <c r="D35" s="48" t="s">
        <v>386</v>
      </c>
      <c r="E35" s="48">
        <f>M11*4</f>
        <v>1860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8" ht="15" customHeight="1">
      <c r="A36" s="48">
        <v>15</v>
      </c>
      <c r="B36" s="357"/>
      <c r="C36" s="80" t="s">
        <v>42</v>
      </c>
      <c r="D36" s="50" t="s">
        <v>385</v>
      </c>
      <c r="E36" s="51">
        <f>0.1*1.1*E38+0.1*1.2*E39+0.1*1.3*E40+0.1*1.4*E41</f>
        <v>60.53</v>
      </c>
      <c r="F36" s="377"/>
      <c r="G36" s="52">
        <f t="shared" si="1"/>
        <v>0</v>
      </c>
      <c r="H36" s="7"/>
    </row>
    <row r="37" spans="1:8" ht="30" customHeight="1">
      <c r="A37" s="48">
        <v>16</v>
      </c>
      <c r="B37" s="357"/>
      <c r="C37" s="53" t="s">
        <v>43</v>
      </c>
      <c r="D37" s="50" t="s">
        <v>385</v>
      </c>
      <c r="E37" s="51">
        <f>E34-E36-E53-E54-7.77-3.26-14.72-71.78</f>
        <v>2066</v>
      </c>
      <c r="F37" s="377"/>
      <c r="G37" s="52">
        <f t="shared" si="1"/>
        <v>0</v>
      </c>
      <c r="H37" s="7"/>
    </row>
    <row r="38" spans="1:9" ht="14.25">
      <c r="A38" s="48">
        <v>17</v>
      </c>
      <c r="B38" s="357"/>
      <c r="C38" s="53" t="s">
        <v>291</v>
      </c>
      <c r="D38" s="48" t="s">
        <v>190</v>
      </c>
      <c r="E38" s="48">
        <v>110</v>
      </c>
      <c r="F38" s="377"/>
      <c r="G38" s="52">
        <f t="shared" si="1"/>
        <v>0</v>
      </c>
      <c r="H38" s="7"/>
      <c r="I38" s="34"/>
    </row>
    <row r="39" spans="1:13" ht="14.25">
      <c r="A39" s="48">
        <v>18</v>
      </c>
      <c r="B39" s="357"/>
      <c r="C39" s="53" t="s">
        <v>271</v>
      </c>
      <c r="D39" s="48" t="s">
        <v>190</v>
      </c>
      <c r="E39" s="48">
        <v>26</v>
      </c>
      <c r="F39" s="377"/>
      <c r="G39" s="52">
        <f t="shared" si="1"/>
        <v>0</v>
      </c>
      <c r="H39" s="7"/>
      <c r="M39" s="34"/>
    </row>
    <row r="40" spans="1:13" ht="14.25">
      <c r="A40" s="48">
        <v>19</v>
      </c>
      <c r="B40" s="357"/>
      <c r="C40" s="53" t="s">
        <v>272</v>
      </c>
      <c r="D40" s="48" t="s">
        <v>190</v>
      </c>
      <c r="E40" s="48">
        <v>75</v>
      </c>
      <c r="F40" s="377"/>
      <c r="G40" s="52">
        <f t="shared" si="1"/>
        <v>0</v>
      </c>
      <c r="H40" s="7"/>
      <c r="M40" s="34"/>
    </row>
    <row r="41" spans="1:14" ht="14.25">
      <c r="A41" s="48">
        <v>20</v>
      </c>
      <c r="B41" s="357"/>
      <c r="C41" s="53" t="s">
        <v>273</v>
      </c>
      <c r="D41" s="48" t="s">
        <v>190</v>
      </c>
      <c r="E41" s="48">
        <v>254</v>
      </c>
      <c r="F41" s="377"/>
      <c r="G41" s="52">
        <f t="shared" si="1"/>
        <v>0</v>
      </c>
      <c r="H41" s="7"/>
      <c r="N41" s="34"/>
    </row>
    <row r="42" spans="1:14" ht="28.5">
      <c r="A42" s="48">
        <v>21</v>
      </c>
      <c r="B42" s="357"/>
      <c r="C42" s="53" t="s">
        <v>309</v>
      </c>
      <c r="D42" s="48" t="s">
        <v>191</v>
      </c>
      <c r="E42" s="48">
        <v>9</v>
      </c>
      <c r="F42" s="377"/>
      <c r="G42" s="52">
        <f t="shared" si="1"/>
        <v>0</v>
      </c>
      <c r="H42" s="7"/>
      <c r="N42" s="34"/>
    </row>
    <row r="43" spans="1:13" ht="28.5">
      <c r="A43" s="48">
        <v>22</v>
      </c>
      <c r="B43" s="357"/>
      <c r="C43" s="53" t="s">
        <v>313</v>
      </c>
      <c r="D43" s="48" t="s">
        <v>191</v>
      </c>
      <c r="E43" s="48">
        <v>3</v>
      </c>
      <c r="F43" s="377"/>
      <c r="G43" s="52">
        <f>E43*F43</f>
        <v>0</v>
      </c>
      <c r="H43" s="7"/>
      <c r="M43" s="34"/>
    </row>
    <row r="44" spans="1:13" ht="28.5">
      <c r="A44" s="48">
        <v>23</v>
      </c>
      <c r="B44" s="357"/>
      <c r="C44" s="53" t="s">
        <v>310</v>
      </c>
      <c r="D44" s="48" t="s">
        <v>191</v>
      </c>
      <c r="E44" s="48">
        <v>1</v>
      </c>
      <c r="F44" s="377"/>
      <c r="G44" s="52">
        <f>E44*F44</f>
        <v>0</v>
      </c>
      <c r="H44" s="7"/>
      <c r="M44" s="34"/>
    </row>
    <row r="45" spans="1:14" ht="14.25">
      <c r="A45" s="48">
        <v>24</v>
      </c>
      <c r="B45" s="357"/>
      <c r="C45" s="53" t="s">
        <v>200</v>
      </c>
      <c r="D45" s="48" t="s">
        <v>191</v>
      </c>
      <c r="E45" s="48">
        <f>M8</f>
        <v>38</v>
      </c>
      <c r="F45" s="377"/>
      <c r="G45" s="52">
        <f t="shared" si="1"/>
        <v>0</v>
      </c>
      <c r="H45" s="7"/>
      <c r="N45" s="34"/>
    </row>
    <row r="46" spans="1:13" ht="42.75">
      <c r="A46" s="48">
        <v>25</v>
      </c>
      <c r="B46" s="357"/>
      <c r="C46" s="53" t="s">
        <v>233</v>
      </c>
      <c r="D46" s="48" t="s">
        <v>191</v>
      </c>
      <c r="E46" s="51">
        <v>11</v>
      </c>
      <c r="F46" s="377"/>
      <c r="G46" s="52">
        <f t="shared" si="1"/>
        <v>0</v>
      </c>
      <c r="H46" s="34"/>
      <c r="M46" s="34"/>
    </row>
    <row r="47" spans="1:8" ht="14.25">
      <c r="A47" s="48">
        <v>26</v>
      </c>
      <c r="B47" s="357"/>
      <c r="C47" s="49" t="s">
        <v>192</v>
      </c>
      <c r="D47" s="48" t="s">
        <v>193</v>
      </c>
      <c r="E47" s="51">
        <f>40*M11/2000</f>
        <v>9.3</v>
      </c>
      <c r="F47" s="377"/>
      <c r="G47" s="52">
        <f t="shared" si="1"/>
        <v>0</v>
      </c>
      <c r="H47" s="7"/>
    </row>
    <row r="48" spans="1:15" ht="14.25">
      <c r="A48" s="48">
        <v>27</v>
      </c>
      <c r="B48" s="357"/>
      <c r="C48" s="95" t="s">
        <v>282</v>
      </c>
      <c r="D48" s="48" t="s">
        <v>190</v>
      </c>
      <c r="E48" s="51">
        <f>E17</f>
        <v>38</v>
      </c>
      <c r="F48" s="377"/>
      <c r="G48" s="52">
        <f t="shared" si="1"/>
        <v>0</v>
      </c>
      <c r="H48" s="7"/>
      <c r="N48" s="30"/>
      <c r="O48" s="30"/>
    </row>
    <row r="49" spans="1:15" ht="16.5">
      <c r="A49" s="48">
        <v>28</v>
      </c>
      <c r="B49" s="357"/>
      <c r="C49" s="95" t="s">
        <v>283</v>
      </c>
      <c r="D49" s="48" t="s">
        <v>386</v>
      </c>
      <c r="E49" s="51">
        <f>E18</f>
        <v>76</v>
      </c>
      <c r="F49" s="377"/>
      <c r="G49" s="52">
        <f t="shared" si="1"/>
        <v>0</v>
      </c>
      <c r="H49" s="7"/>
      <c r="N49" s="30"/>
      <c r="O49" s="30"/>
    </row>
    <row r="50" spans="1:15" s="2" customFormat="1" ht="28.5">
      <c r="A50" s="48">
        <v>29</v>
      </c>
      <c r="B50" s="357"/>
      <c r="C50" s="77" t="s">
        <v>293</v>
      </c>
      <c r="D50" s="48" t="s">
        <v>195</v>
      </c>
      <c r="E50" s="82">
        <f>(E15+E16)*96/1000</f>
        <v>95.71679999999999</v>
      </c>
      <c r="F50" s="377"/>
      <c r="G50" s="52">
        <f t="shared" si="1"/>
        <v>0</v>
      </c>
      <c r="H50" s="7"/>
      <c r="I50" s="29"/>
      <c r="J50" s="29"/>
      <c r="K50" s="29"/>
      <c r="L50" s="29"/>
      <c r="M50" s="3"/>
      <c r="N50" s="29"/>
      <c r="O50" s="29"/>
    </row>
    <row r="51" spans="1:15" s="30" customFormat="1" ht="28.5">
      <c r="A51" s="48">
        <v>30</v>
      </c>
      <c r="B51" s="357"/>
      <c r="C51" s="77" t="s">
        <v>294</v>
      </c>
      <c r="D51" s="48" t="s">
        <v>195</v>
      </c>
      <c r="E51" s="51">
        <v>53.16</v>
      </c>
      <c r="F51" s="377"/>
      <c r="G51" s="52">
        <f t="shared" si="1"/>
        <v>0</v>
      </c>
      <c r="H51" s="7"/>
      <c r="I51" s="29"/>
      <c r="J51" s="29"/>
      <c r="K51" s="29"/>
      <c r="L51" s="29"/>
      <c r="N51" s="29"/>
      <c r="O51" s="29"/>
    </row>
    <row r="52" spans="1:8" ht="28.5">
      <c r="A52" s="48">
        <v>31</v>
      </c>
      <c r="B52" s="357"/>
      <c r="C52" s="53" t="s">
        <v>295</v>
      </c>
      <c r="D52" s="83" t="s">
        <v>195</v>
      </c>
      <c r="E52" s="51">
        <f>61.46+79.74</f>
        <v>141.2</v>
      </c>
      <c r="F52" s="377"/>
      <c r="G52" s="52">
        <f t="shared" si="1"/>
        <v>0</v>
      </c>
      <c r="H52" s="7"/>
    </row>
    <row r="53" spans="1:15" s="2" customFormat="1" ht="28.5">
      <c r="A53" s="48">
        <v>32</v>
      </c>
      <c r="B53" s="357"/>
      <c r="C53" s="53" t="s">
        <v>298</v>
      </c>
      <c r="D53" s="83" t="s">
        <v>385</v>
      </c>
      <c r="E53" s="84">
        <v>208.22</v>
      </c>
      <c r="F53" s="377"/>
      <c r="G53" s="52">
        <f t="shared" si="1"/>
        <v>0</v>
      </c>
      <c r="H53" s="7"/>
      <c r="I53" s="29"/>
      <c r="J53" s="29"/>
      <c r="K53" s="29"/>
      <c r="L53" s="29"/>
      <c r="M53" s="3"/>
      <c r="N53" s="3"/>
      <c r="O53" s="6"/>
    </row>
    <row r="54" spans="1:15" s="2" customFormat="1" ht="28.5">
      <c r="A54" s="48">
        <v>33</v>
      </c>
      <c r="B54" s="357"/>
      <c r="C54" s="53" t="s">
        <v>21</v>
      </c>
      <c r="D54" s="83" t="s">
        <v>385</v>
      </c>
      <c r="E54" s="84">
        <v>179.4</v>
      </c>
      <c r="F54" s="377"/>
      <c r="G54" s="52">
        <f t="shared" si="1"/>
        <v>0</v>
      </c>
      <c r="H54" s="7"/>
      <c r="I54" s="29"/>
      <c r="J54" s="29"/>
      <c r="K54" s="29"/>
      <c r="L54" s="29"/>
      <c r="M54" s="30"/>
      <c r="N54" s="30"/>
      <c r="O54" s="30"/>
    </row>
    <row r="55" spans="1:15" s="2" customFormat="1" ht="14.25">
      <c r="A55" s="48">
        <v>34</v>
      </c>
      <c r="B55" s="357"/>
      <c r="C55" s="77" t="s">
        <v>194</v>
      </c>
      <c r="D55" s="74" t="s">
        <v>190</v>
      </c>
      <c r="E55" s="85">
        <f>E13</f>
        <v>930</v>
      </c>
      <c r="F55" s="377"/>
      <c r="G55" s="52">
        <f t="shared" si="1"/>
        <v>0</v>
      </c>
      <c r="H55" s="7"/>
      <c r="I55" s="29"/>
      <c r="J55" s="29"/>
      <c r="K55" s="29"/>
      <c r="L55" s="29"/>
      <c r="M55" s="3"/>
      <c r="N55" s="29"/>
      <c r="O55" s="29"/>
    </row>
    <row r="56" spans="1:15" s="2" customFormat="1" ht="12.75" customHeight="1">
      <c r="A56" s="48">
        <v>35</v>
      </c>
      <c r="B56" s="357"/>
      <c r="C56" s="55" t="s">
        <v>201</v>
      </c>
      <c r="D56" s="50" t="s">
        <v>190</v>
      </c>
      <c r="E56" s="50">
        <f>M11</f>
        <v>465</v>
      </c>
      <c r="F56" s="377"/>
      <c r="G56" s="52">
        <f t="shared" si="1"/>
        <v>0</v>
      </c>
      <c r="H56" s="7"/>
      <c r="I56" s="29"/>
      <c r="J56" s="29"/>
      <c r="K56" s="29"/>
      <c r="L56" s="29"/>
      <c r="M56" s="29"/>
      <c r="N56" s="29"/>
      <c r="O56" s="29"/>
    </row>
    <row r="57" spans="5:7" ht="15">
      <c r="E57" s="57"/>
      <c r="F57" s="58" t="s">
        <v>364</v>
      </c>
      <c r="G57" s="59">
        <f>SUM(G13:G56)</f>
        <v>0</v>
      </c>
    </row>
    <row r="58" spans="5:7" ht="15" customHeight="1">
      <c r="E58" s="484" t="s">
        <v>206</v>
      </c>
      <c r="F58" s="484"/>
      <c r="G58" s="59">
        <f>G57*0.2</f>
        <v>0</v>
      </c>
    </row>
    <row r="59" spans="3:7" ht="15">
      <c r="C59" s="26"/>
      <c r="E59" s="57"/>
      <c r="F59" s="60" t="s">
        <v>365</v>
      </c>
      <c r="G59" s="59">
        <f>SUM(G57:G58)</f>
        <v>0</v>
      </c>
    </row>
    <row r="60" spans="3:5" ht="14.25">
      <c r="C60" s="61"/>
      <c r="D60" s="62"/>
      <c r="E60" s="62"/>
    </row>
    <row r="61" spans="2:16" ht="18.75">
      <c r="B61" s="63" t="s">
        <v>370</v>
      </c>
      <c r="C61" s="64" t="s">
        <v>371</v>
      </c>
      <c r="D61" s="62"/>
      <c r="E61" s="62"/>
      <c r="H61" s="28"/>
      <c r="I61" s="28"/>
      <c r="J61" s="28"/>
      <c r="K61" s="28"/>
      <c r="L61" s="28"/>
      <c r="M61" s="28"/>
      <c r="N61" s="28"/>
      <c r="O61" s="28"/>
      <c r="P61" s="28"/>
    </row>
    <row r="62" spans="8:16" ht="14.25">
      <c r="H62" s="28"/>
      <c r="I62" s="28"/>
      <c r="J62" s="28"/>
      <c r="K62" s="28"/>
      <c r="L62" s="28"/>
      <c r="M62" s="28"/>
      <c r="N62" s="28"/>
      <c r="O62" s="28"/>
      <c r="P62" s="28"/>
    </row>
    <row r="63" spans="8:16" ht="15" customHeight="1">
      <c r="H63" s="28"/>
      <c r="I63" s="28"/>
      <c r="J63" s="28"/>
      <c r="K63" s="28"/>
      <c r="L63" s="28"/>
      <c r="M63" s="28"/>
      <c r="N63" s="28"/>
      <c r="O63" s="28"/>
      <c r="P63" s="28"/>
    </row>
    <row r="64" spans="8:16" ht="14.25">
      <c r="H64" s="28"/>
      <c r="I64" s="28"/>
      <c r="J64" s="28"/>
      <c r="K64" s="28"/>
      <c r="L64" s="28"/>
      <c r="M64" s="28"/>
      <c r="N64" s="28"/>
      <c r="O64" s="28"/>
      <c r="P64" s="28"/>
    </row>
    <row r="65" spans="1:6" s="67" customFormat="1" ht="15">
      <c r="A65" s="65" t="s">
        <v>373</v>
      </c>
      <c r="B65" s="2"/>
      <c r="C65" s="65"/>
      <c r="D65" s="66" t="s">
        <v>374</v>
      </c>
      <c r="E65" s="24"/>
      <c r="F65" s="426"/>
    </row>
    <row r="66" spans="1:6" s="67" customFormat="1" ht="12.75">
      <c r="A66" s="11"/>
      <c r="B66" s="2"/>
      <c r="C66" s="11"/>
      <c r="D66" s="2"/>
      <c r="E66" s="24"/>
      <c r="F66" s="426"/>
    </row>
    <row r="67" spans="1:6" s="67" customFormat="1" ht="14.25">
      <c r="A67" s="11"/>
      <c r="B67" s="2"/>
      <c r="C67" s="68"/>
      <c r="D67" s="69" t="s">
        <v>375</v>
      </c>
      <c r="E67" s="24"/>
      <c r="F67" s="426"/>
    </row>
    <row r="68" spans="1:6" s="67" customFormat="1" ht="12.75">
      <c r="A68" s="11"/>
      <c r="B68" s="2"/>
      <c r="C68" s="11"/>
      <c r="D68" s="2"/>
      <c r="E68" s="70" t="s">
        <v>376</v>
      </c>
      <c r="F68" s="426"/>
    </row>
    <row r="69" spans="1:6" s="67" customFormat="1" ht="14.25">
      <c r="A69" s="11"/>
      <c r="B69" s="2"/>
      <c r="C69" s="68"/>
      <c r="D69" s="69" t="s">
        <v>377</v>
      </c>
      <c r="E69" s="24"/>
      <c r="F69" s="426"/>
    </row>
    <row r="70" spans="1:6" s="67" customFormat="1" ht="12.75">
      <c r="A70" s="11"/>
      <c r="B70" s="2"/>
      <c r="C70" s="11"/>
      <c r="D70" s="71" t="s">
        <v>378</v>
      </c>
      <c r="E70" s="24"/>
      <c r="F70" s="426"/>
    </row>
  </sheetData>
  <sheetProtection sheet="1" formatCells="0" formatColumns="0" formatRows="0" insertColumns="0" insertRows="0" insertHyperlinks="0" deleteColumns="0" deleteRows="0"/>
  <protectedRanges>
    <protectedRange password="CF7A" sqref="A61:E70" name="Range1"/>
    <protectedRange password="CF7A" sqref="A9:A12 C9:E12 B9:B10 B12" name="Range1_2"/>
    <protectedRange password="CF7A" sqref="F58 E57:E59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58:F58"/>
    <mergeCell ref="A28:A31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7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590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20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8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186.01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60.08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89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178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115.19999999999999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M8*3.5*2</f>
        <v>56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142.4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M8*M9*3.5</f>
        <v>33.6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8</v>
      </c>
      <c r="F17" s="377"/>
      <c r="G17" s="52">
        <f t="shared" si="0"/>
        <v>0</v>
      </c>
      <c r="H17" s="7"/>
      <c r="I17" s="76">
        <f>SUM(I9:I16)</f>
        <v>246.08999999999997</v>
      </c>
      <c r="J17" s="76">
        <f>SUM(J9:J16)</f>
        <v>0</v>
      </c>
      <c r="K17" s="48">
        <f>SUM(I17:J17)</f>
        <v>246.08999999999997</v>
      </c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16</v>
      </c>
      <c r="F18" s="377"/>
      <c r="G18" s="52">
        <f t="shared" si="0"/>
        <v>0</v>
      </c>
      <c r="H18" s="7"/>
      <c r="I18" s="34"/>
      <c r="J18" s="34"/>
      <c r="K18" s="34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19.200000000000003</v>
      </c>
      <c r="F19" s="377"/>
      <c r="G19" s="52">
        <f t="shared" si="0"/>
        <v>0</v>
      </c>
      <c r="H19" s="7"/>
      <c r="I19" s="34"/>
      <c r="J19" s="34"/>
      <c r="K19" s="34"/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0.7*I17</f>
        <v>172.26299999999998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0.05*I17</f>
        <v>12.304499999999999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0.25*I17</f>
        <v>61.522499999999994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69.11999999999999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 customHeight="1">
      <c r="A26" s="497"/>
      <c r="B26" s="357"/>
      <c r="C26" s="53" t="s">
        <v>266</v>
      </c>
      <c r="D26" s="50" t="s">
        <v>385</v>
      </c>
      <c r="E26" s="51">
        <f>0.05*M13</f>
        <v>5.76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40.31999999999999</v>
      </c>
      <c r="F27" s="377"/>
      <c r="G27" s="52">
        <f t="shared" si="1"/>
        <v>0</v>
      </c>
      <c r="H27" s="7"/>
      <c r="I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101.84249999999999</v>
      </c>
      <c r="F28" s="377"/>
      <c r="G28" s="52">
        <f t="shared" si="1"/>
        <v>0</v>
      </c>
      <c r="H28" s="7"/>
      <c r="I28" s="34"/>
      <c r="K28" s="51"/>
    </row>
    <row r="29" spans="1:10" ht="16.5">
      <c r="A29" s="48">
        <v>11</v>
      </c>
      <c r="B29" s="357"/>
      <c r="C29" s="55" t="s">
        <v>197</v>
      </c>
      <c r="D29" s="50" t="s">
        <v>385</v>
      </c>
      <c r="E29" s="81">
        <f>E28</f>
        <v>101.84249999999999</v>
      </c>
      <c r="F29" s="377"/>
      <c r="G29" s="52">
        <f t="shared" si="1"/>
        <v>0</v>
      </c>
      <c r="H29" s="7"/>
      <c r="J29" s="30"/>
    </row>
    <row r="30" spans="1:8" ht="28.5">
      <c r="A30" s="48">
        <v>12</v>
      </c>
      <c r="B30" s="357"/>
      <c r="C30" s="80" t="s">
        <v>41</v>
      </c>
      <c r="D30" s="50" t="s">
        <v>385</v>
      </c>
      <c r="E30" s="51">
        <f>K17+M13</f>
        <v>361.28999999999996</v>
      </c>
      <c r="F30" s="377"/>
      <c r="G30" s="52">
        <f t="shared" si="1"/>
        <v>0</v>
      </c>
      <c r="H30" s="7"/>
    </row>
    <row r="31" spans="1:15" s="30" customFormat="1" ht="16.5">
      <c r="A31" s="48">
        <v>13</v>
      </c>
      <c r="B31" s="357"/>
      <c r="C31" s="49" t="s">
        <v>387</v>
      </c>
      <c r="D31" s="48" t="s">
        <v>386</v>
      </c>
      <c r="E31" s="48">
        <f>M11*4</f>
        <v>356</v>
      </c>
      <c r="F31" s="377"/>
      <c r="G31" s="52">
        <f t="shared" si="1"/>
        <v>0</v>
      </c>
      <c r="H31" s="7"/>
      <c r="I31" s="29"/>
      <c r="J31" s="29"/>
      <c r="K31" s="29"/>
      <c r="L31" s="29"/>
      <c r="N31" s="29"/>
      <c r="O31" s="29"/>
    </row>
    <row r="32" spans="1:8" ht="15" customHeight="1">
      <c r="A32" s="48">
        <v>14</v>
      </c>
      <c r="B32" s="357"/>
      <c r="C32" s="80" t="s">
        <v>42</v>
      </c>
      <c r="D32" s="50" t="s">
        <v>385</v>
      </c>
      <c r="E32" s="51">
        <f>0.1*1.1*M11</f>
        <v>9.790000000000001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57"/>
      <c r="C33" s="53" t="s">
        <v>43</v>
      </c>
      <c r="D33" s="50" t="s">
        <v>385</v>
      </c>
      <c r="E33" s="51">
        <f>E30-E32-E44-6.29</f>
        <v>282.0299999999999</v>
      </c>
      <c r="F33" s="377"/>
      <c r="G33" s="52">
        <f t="shared" si="1"/>
        <v>0</v>
      </c>
      <c r="H33" s="7"/>
    </row>
    <row r="34" spans="1:9" ht="14.25">
      <c r="A34" s="48">
        <v>16</v>
      </c>
      <c r="B34" s="357"/>
      <c r="C34" s="53" t="s">
        <v>291</v>
      </c>
      <c r="D34" s="48" t="s">
        <v>190</v>
      </c>
      <c r="E34" s="48">
        <v>89</v>
      </c>
      <c r="F34" s="377"/>
      <c r="G34" s="52">
        <f t="shared" si="1"/>
        <v>0</v>
      </c>
      <c r="H34" s="7"/>
      <c r="I34" s="34"/>
    </row>
    <row r="35" spans="1:13" ht="28.5">
      <c r="A35" s="48">
        <v>17</v>
      </c>
      <c r="B35" s="357"/>
      <c r="C35" s="53" t="s">
        <v>309</v>
      </c>
      <c r="D35" s="48" t="s">
        <v>191</v>
      </c>
      <c r="E35" s="48">
        <v>2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57"/>
      <c r="C36" s="53" t="s">
        <v>200</v>
      </c>
      <c r="D36" s="48" t="s">
        <v>191</v>
      </c>
      <c r="E36" s="48">
        <f>M8</f>
        <v>8</v>
      </c>
      <c r="F36" s="377"/>
      <c r="G36" s="52">
        <f t="shared" si="1"/>
        <v>0</v>
      </c>
      <c r="H36" s="7"/>
      <c r="M36" s="34"/>
    </row>
    <row r="37" spans="1:13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1.78</v>
      </c>
      <c r="F38" s="377"/>
      <c r="G38" s="52">
        <f t="shared" si="1"/>
        <v>0</v>
      </c>
      <c r="H38" s="7"/>
    </row>
    <row r="39" spans="1:15" ht="14.25">
      <c r="A39" s="48">
        <v>21</v>
      </c>
      <c r="B39" s="357"/>
      <c r="C39" s="95" t="s">
        <v>282</v>
      </c>
      <c r="D39" s="48" t="s">
        <v>190</v>
      </c>
      <c r="E39" s="51">
        <f>E17</f>
        <v>8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57"/>
      <c r="C40" s="95" t="s">
        <v>283</v>
      </c>
      <c r="D40" s="48" t="s">
        <v>386</v>
      </c>
      <c r="E40" s="51">
        <f>E18</f>
        <v>16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16.896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5" s="30" customFormat="1" ht="28.5">
      <c r="A42" s="48">
        <v>24</v>
      </c>
      <c r="B42" s="357"/>
      <c r="C42" s="77" t="s">
        <v>294</v>
      </c>
      <c r="D42" s="48" t="s">
        <v>195</v>
      </c>
      <c r="E42" s="51">
        <f>E41</f>
        <v>16.896</v>
      </c>
      <c r="F42" s="377"/>
      <c r="G42" s="52">
        <f t="shared" si="1"/>
        <v>0</v>
      </c>
      <c r="H42" s="7"/>
      <c r="I42" s="29"/>
      <c r="J42" s="29"/>
      <c r="K42" s="29"/>
      <c r="L42" s="29"/>
      <c r="N42" s="29"/>
      <c r="O42" s="29"/>
    </row>
    <row r="43" spans="1:8" ht="28.5">
      <c r="A43" s="48">
        <v>25</v>
      </c>
      <c r="B43" s="357"/>
      <c r="C43" s="53" t="s">
        <v>30</v>
      </c>
      <c r="D43" s="83" t="s">
        <v>195</v>
      </c>
      <c r="E43" s="51">
        <f>(E15+E16)*0.12*2.4</f>
        <v>50.687999999999995</v>
      </c>
      <c r="F43" s="377"/>
      <c r="G43" s="52">
        <f t="shared" si="1"/>
        <v>0</v>
      </c>
      <c r="H43" s="7"/>
    </row>
    <row r="44" spans="1:15" s="2" customFormat="1" ht="28.5">
      <c r="A44" s="48">
        <v>26</v>
      </c>
      <c r="B44" s="357"/>
      <c r="C44" s="53" t="s">
        <v>31</v>
      </c>
      <c r="D44" s="83" t="s">
        <v>385</v>
      </c>
      <c r="E44" s="84">
        <v>63.18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3"/>
      <c r="O44" s="6"/>
    </row>
    <row r="45" spans="1:15" s="2" customFormat="1" ht="14.25">
      <c r="A45" s="48">
        <v>27</v>
      </c>
      <c r="B45" s="357"/>
      <c r="C45" s="77" t="s">
        <v>194</v>
      </c>
      <c r="D45" s="74" t="s">
        <v>190</v>
      </c>
      <c r="E45" s="85">
        <f>E13</f>
        <v>178</v>
      </c>
      <c r="F45" s="377"/>
      <c r="G45" s="52">
        <f t="shared" si="1"/>
        <v>0</v>
      </c>
      <c r="H45" s="7"/>
      <c r="I45" s="29"/>
      <c r="J45" s="29"/>
      <c r="K45" s="29"/>
      <c r="L45" s="29"/>
      <c r="M45" s="30"/>
      <c r="N45" s="30"/>
      <c r="O45" s="30"/>
    </row>
    <row r="46" spans="1:15" s="2" customFormat="1" ht="12.75" customHeight="1">
      <c r="A46" s="48">
        <v>28</v>
      </c>
      <c r="B46" s="357"/>
      <c r="C46" s="55" t="s">
        <v>201</v>
      </c>
      <c r="D46" s="50" t="s">
        <v>190</v>
      </c>
      <c r="E46" s="50">
        <f>M11</f>
        <v>89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29"/>
      <c r="O46" s="29"/>
    </row>
    <row r="47" spans="5:7" ht="15">
      <c r="E47" s="57"/>
      <c r="F47" s="58" t="s">
        <v>364</v>
      </c>
      <c r="G47" s="59">
        <f>SUM(G13:G46)</f>
        <v>0</v>
      </c>
    </row>
    <row r="48" spans="5:7" ht="15" customHeight="1">
      <c r="E48" s="484" t="s">
        <v>206</v>
      </c>
      <c r="F48" s="484"/>
      <c r="G48" s="59">
        <f>G47*0.2</f>
        <v>0</v>
      </c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1:6" s="67" customFormat="1" ht="15">
      <c r="A55" s="65" t="s">
        <v>373</v>
      </c>
      <c r="B55" s="2"/>
      <c r="C55" s="65"/>
      <c r="D55" s="66" t="s">
        <v>374</v>
      </c>
      <c r="E55" s="24"/>
      <c r="F55" s="426"/>
    </row>
    <row r="56" spans="1:6" s="67" customFormat="1" ht="12.75">
      <c r="A56" s="11"/>
      <c r="B56" s="2"/>
      <c r="C56" s="11"/>
      <c r="D56" s="2"/>
      <c r="E56" s="24"/>
      <c r="F56" s="426"/>
    </row>
    <row r="57" spans="1:6" s="67" customFormat="1" ht="14.25">
      <c r="A57" s="11"/>
      <c r="B57" s="2"/>
      <c r="C57" s="68"/>
      <c r="D57" s="69" t="s">
        <v>375</v>
      </c>
      <c r="E57" s="24"/>
      <c r="F57" s="426"/>
    </row>
    <row r="58" spans="1:6" s="67" customFormat="1" ht="12.75">
      <c r="A58" s="11"/>
      <c r="B58" s="2"/>
      <c r="C58" s="11"/>
      <c r="D58" s="2"/>
      <c r="E58" s="70" t="s">
        <v>376</v>
      </c>
      <c r="F58" s="426"/>
    </row>
    <row r="59" spans="1:6" s="67" customFormat="1" ht="14.25">
      <c r="A59" s="11"/>
      <c r="B59" s="2"/>
      <c r="C59" s="68"/>
      <c r="D59" s="69" t="s">
        <v>377</v>
      </c>
      <c r="E59" s="24"/>
      <c r="F59" s="426"/>
    </row>
    <row r="60" spans="1:6" s="67" customFormat="1" ht="12.75">
      <c r="A60" s="11"/>
      <c r="B60" s="2"/>
      <c r="C60" s="11"/>
      <c r="D60" s="71" t="s">
        <v>378</v>
      </c>
      <c r="E60" s="24"/>
      <c r="F60" s="426"/>
    </row>
  </sheetData>
  <sheetProtection sheet="1" formatCells="0" formatColumns="0" formatRows="0" insertColumns="0" insertRows="0" insertHyperlinks="0" deleteColumns="0" deleteRows="0"/>
  <protectedRanges>
    <protectedRange password="CF7A" sqref="A51:E60" name="Range1"/>
    <protectedRange password="CF7A" sqref="A9:A12 C9:E12 B9:B10 B12" name="Range1_2"/>
    <protectedRange password="CF7A" sqref="F48 E47:E49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8:F48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7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591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21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64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106.48</v>
      </c>
      <c r="J9" s="73">
        <v>660.96</v>
      </c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29.7</v>
      </c>
      <c r="J10" s="48">
        <v>121.5</v>
      </c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436.08</v>
      </c>
      <c r="J11" s="48"/>
      <c r="K11" s="47"/>
      <c r="L11" s="48" t="s">
        <v>213</v>
      </c>
      <c r="M11" s="48">
        <v>641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114.55</v>
      </c>
      <c r="J12" s="48"/>
      <c r="K12" s="47"/>
      <c r="L12" s="48" t="s">
        <v>209</v>
      </c>
      <c r="M12" s="5">
        <v>2.1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1282</v>
      </c>
      <c r="F13" s="377"/>
      <c r="G13" s="52">
        <f aca="true" t="shared" si="0" ref="G13:G19">E13*F13</f>
        <v>0</v>
      </c>
      <c r="H13" s="7"/>
      <c r="I13" s="48">
        <v>382.84</v>
      </c>
      <c r="J13" s="48"/>
      <c r="K13" s="47"/>
      <c r="L13" s="48" t="s">
        <v>208</v>
      </c>
      <c r="M13" s="48">
        <f>M8*M9*M10*2</f>
        <v>921.5999999999999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M8*3.5*2</f>
        <v>448</v>
      </c>
      <c r="F14" s="377"/>
      <c r="G14" s="52">
        <f t="shared" si="0"/>
        <v>0</v>
      </c>
      <c r="H14" s="7"/>
      <c r="I14" s="48">
        <v>93.23</v>
      </c>
      <c r="J14" s="48"/>
      <c r="K14" s="47"/>
      <c r="L14" s="48" t="s">
        <v>212</v>
      </c>
      <c r="M14" s="48">
        <v>12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1346.1000000000001</v>
      </c>
      <c r="F15" s="377"/>
      <c r="G15" s="52">
        <f t="shared" si="0"/>
        <v>0</v>
      </c>
      <c r="H15" s="7"/>
      <c r="I15" s="48">
        <v>429.31</v>
      </c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M8*M9*3.5</f>
        <v>268.8</v>
      </c>
      <c r="F16" s="377"/>
      <c r="G16" s="52">
        <f t="shared" si="0"/>
        <v>0</v>
      </c>
      <c r="H16" s="7"/>
      <c r="I16" s="48">
        <v>93.6</v>
      </c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64</v>
      </c>
      <c r="F17" s="377"/>
      <c r="G17" s="52">
        <f t="shared" si="0"/>
        <v>0</v>
      </c>
      <c r="H17" s="7"/>
      <c r="I17" s="48">
        <v>606.48</v>
      </c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128</v>
      </c>
      <c r="F18" s="377"/>
      <c r="G18" s="52">
        <f t="shared" si="0"/>
        <v>0</v>
      </c>
      <c r="H18" s="7"/>
      <c r="I18" s="48">
        <v>128.25</v>
      </c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174.29000000000002</v>
      </c>
      <c r="F19" s="377"/>
      <c r="G19" s="52">
        <f t="shared" si="0"/>
        <v>0</v>
      </c>
      <c r="H19" s="7"/>
      <c r="I19" s="76">
        <f>SUM(I9:I18)</f>
        <v>2420.5199999999995</v>
      </c>
      <c r="J19" s="76">
        <f>SUM(J9:J18)</f>
        <v>782.46</v>
      </c>
      <c r="K19" s="48">
        <f>SUM(I19:J19)</f>
        <v>3202.9799999999996</v>
      </c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0.7*I19</f>
        <v>1694.3639999999996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0.05*I19</f>
        <v>121.02599999999998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0.25*I19</f>
        <v>605.1299999999999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34"/>
      <c r="J24" s="34"/>
      <c r="K24" s="34"/>
    </row>
    <row r="25" spans="1:12" ht="16.5">
      <c r="A25" s="497">
        <f>A24+1</f>
        <v>10</v>
      </c>
      <c r="B25" s="357"/>
      <c r="C25" s="49" t="s">
        <v>264</v>
      </c>
      <c r="D25" s="50" t="s">
        <v>385</v>
      </c>
      <c r="E25" s="51">
        <f>0.7*J19</f>
        <v>547.722</v>
      </c>
      <c r="F25" s="377"/>
      <c r="G25" s="52">
        <f>E25*F25</f>
        <v>0</v>
      </c>
      <c r="H25" s="7"/>
      <c r="I25" s="34"/>
      <c r="J25" s="34"/>
      <c r="K25" s="34"/>
      <c r="L25" s="34"/>
    </row>
    <row r="26" spans="1:11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0.05*J19</f>
        <v>39.123000000000005</v>
      </c>
      <c r="F26" s="377"/>
      <c r="G26" s="52">
        <f>E26*F26</f>
        <v>0</v>
      </c>
      <c r="H26" s="7"/>
      <c r="J26" s="34"/>
      <c r="K26" s="34"/>
    </row>
    <row r="27" spans="1:11" ht="15" customHeight="1">
      <c r="A27" s="498">
        <f>A26+1</f>
        <v>12</v>
      </c>
      <c r="B27" s="357"/>
      <c r="C27" s="49" t="s">
        <v>265</v>
      </c>
      <c r="D27" s="50" t="s">
        <v>385</v>
      </c>
      <c r="E27" s="51">
        <f>0.25*J19</f>
        <v>195.615</v>
      </c>
      <c r="F27" s="377"/>
      <c r="G27" s="52">
        <f>E27*F27</f>
        <v>0</v>
      </c>
      <c r="H27" s="7"/>
      <c r="I27" s="34"/>
      <c r="J27" s="34"/>
      <c r="K27" s="34"/>
    </row>
    <row r="28" spans="1:11" ht="28.5">
      <c r="A28" s="496">
        <v>10</v>
      </c>
      <c r="B28" s="48"/>
      <c r="C28" s="53" t="s">
        <v>244</v>
      </c>
      <c r="D28" s="96"/>
      <c r="E28" s="96"/>
      <c r="F28" s="52"/>
      <c r="G28" s="97"/>
      <c r="H28" s="7"/>
      <c r="I28" s="34"/>
      <c r="J28" s="34"/>
      <c r="K28" s="34"/>
    </row>
    <row r="29" spans="1:11" ht="16.5">
      <c r="A29" s="497"/>
      <c r="B29" s="357"/>
      <c r="C29" s="49" t="s">
        <v>199</v>
      </c>
      <c r="D29" s="50" t="s">
        <v>385</v>
      </c>
      <c r="E29" s="51">
        <f>0.6*M13</f>
        <v>552.9599999999999</v>
      </c>
      <c r="F29" s="377"/>
      <c r="G29" s="52">
        <f aca="true" t="shared" si="1" ref="G29:G54">E29*F29</f>
        <v>0</v>
      </c>
      <c r="H29" s="7"/>
      <c r="I29" s="34"/>
      <c r="J29" s="34"/>
      <c r="K29" s="34"/>
    </row>
    <row r="30" spans="1:11" ht="16.5" customHeight="1">
      <c r="A30" s="497"/>
      <c r="B30" s="357"/>
      <c r="C30" s="53" t="s">
        <v>266</v>
      </c>
      <c r="D30" s="50" t="s">
        <v>385</v>
      </c>
      <c r="E30" s="51">
        <f>0.05*M13</f>
        <v>46.08</v>
      </c>
      <c r="F30" s="377"/>
      <c r="G30" s="52">
        <f t="shared" si="1"/>
        <v>0</v>
      </c>
      <c r="H30" s="7"/>
      <c r="I30" s="34"/>
      <c r="J30" s="34"/>
      <c r="K30" s="34"/>
    </row>
    <row r="31" spans="1:11" ht="15" customHeight="1">
      <c r="A31" s="498"/>
      <c r="B31" s="357"/>
      <c r="C31" s="49" t="s">
        <v>267</v>
      </c>
      <c r="D31" s="50" t="s">
        <v>385</v>
      </c>
      <c r="E31" s="51">
        <f>0.35*M13</f>
        <v>322.55999999999995</v>
      </c>
      <c r="F31" s="377"/>
      <c r="G31" s="52">
        <f t="shared" si="1"/>
        <v>0</v>
      </c>
      <c r="H31" s="7"/>
      <c r="I31" s="34"/>
      <c r="J31" s="34"/>
      <c r="K31" s="34"/>
    </row>
    <row r="32" spans="1:11" ht="28.5">
      <c r="A32" s="48">
        <v>11</v>
      </c>
      <c r="B32" s="357"/>
      <c r="C32" s="80" t="s">
        <v>196</v>
      </c>
      <c r="D32" s="50" t="s">
        <v>385</v>
      </c>
      <c r="E32" s="51">
        <f>E23+E31+E27</f>
        <v>1123.3049999999998</v>
      </c>
      <c r="F32" s="377"/>
      <c r="G32" s="52">
        <f t="shared" si="1"/>
        <v>0</v>
      </c>
      <c r="H32" s="7"/>
      <c r="I32" s="34"/>
      <c r="J32" s="34"/>
      <c r="K32" s="34"/>
    </row>
    <row r="33" spans="1:11" ht="16.5">
      <c r="A33" s="48">
        <v>12</v>
      </c>
      <c r="B33" s="357"/>
      <c r="C33" s="55" t="s">
        <v>197</v>
      </c>
      <c r="D33" s="50" t="s">
        <v>385</v>
      </c>
      <c r="E33" s="81">
        <f>E32</f>
        <v>1123.3049999999998</v>
      </c>
      <c r="F33" s="377"/>
      <c r="G33" s="52">
        <f t="shared" si="1"/>
        <v>0</v>
      </c>
      <c r="H33" s="7"/>
      <c r="I33" s="34"/>
      <c r="K33" s="34"/>
    </row>
    <row r="34" spans="1:11" ht="28.5">
      <c r="A34" s="48">
        <v>13</v>
      </c>
      <c r="B34" s="357"/>
      <c r="C34" s="80" t="s">
        <v>41</v>
      </c>
      <c r="D34" s="50" t="s">
        <v>385</v>
      </c>
      <c r="E34" s="51">
        <f>K19+M13</f>
        <v>4124.58</v>
      </c>
      <c r="F34" s="377"/>
      <c r="G34" s="52">
        <f t="shared" si="1"/>
        <v>0</v>
      </c>
      <c r="H34" s="7"/>
      <c r="I34" s="34"/>
      <c r="K34" s="51"/>
    </row>
    <row r="35" spans="1:15" s="30" customFormat="1" ht="16.5">
      <c r="A35" s="48">
        <v>14</v>
      </c>
      <c r="B35" s="357"/>
      <c r="C35" s="49" t="s">
        <v>387</v>
      </c>
      <c r="D35" s="48" t="s">
        <v>386</v>
      </c>
      <c r="E35" s="48">
        <f>M11*4</f>
        <v>2564</v>
      </c>
      <c r="F35" s="377"/>
      <c r="G35" s="52">
        <f t="shared" si="1"/>
        <v>0</v>
      </c>
      <c r="H35" s="7"/>
      <c r="I35" s="29"/>
      <c r="K35" s="29"/>
      <c r="L35" s="29"/>
      <c r="N35" s="29"/>
      <c r="O35" s="29"/>
    </row>
    <row r="36" spans="1:8" ht="15" customHeight="1">
      <c r="A36" s="48">
        <v>15</v>
      </c>
      <c r="B36" s="357"/>
      <c r="C36" s="80" t="s">
        <v>42</v>
      </c>
      <c r="D36" s="50" t="s">
        <v>385</v>
      </c>
      <c r="E36" s="51">
        <f>0.1*1.1*E38+0.1*1.2*E39+0.1*1.4*E40+0.1*1.6*E41+0.1*2*E42</f>
        <v>100.66000000000001</v>
      </c>
      <c r="F36" s="377"/>
      <c r="G36" s="52">
        <f t="shared" si="1"/>
        <v>0</v>
      </c>
      <c r="H36" s="7"/>
    </row>
    <row r="37" spans="1:8" ht="30" customHeight="1">
      <c r="A37" s="48">
        <v>16</v>
      </c>
      <c r="B37" s="357"/>
      <c r="C37" s="53" t="s">
        <v>43</v>
      </c>
      <c r="D37" s="50" t="s">
        <v>385</v>
      </c>
      <c r="E37" s="51">
        <f>E34-E36-E52-3.1-19.84-31.93-52.25-174.27</f>
        <v>3053.55</v>
      </c>
      <c r="F37" s="377"/>
      <c r="G37" s="52">
        <f t="shared" si="1"/>
        <v>0</v>
      </c>
      <c r="H37" s="7"/>
    </row>
    <row r="38" spans="1:8" ht="14.25">
      <c r="A38" s="48">
        <v>17</v>
      </c>
      <c r="B38" s="357"/>
      <c r="C38" s="53" t="s">
        <v>291</v>
      </c>
      <c r="D38" s="48" t="s">
        <v>190</v>
      </c>
      <c r="E38" s="48">
        <v>44</v>
      </c>
      <c r="F38" s="377"/>
      <c r="G38" s="52">
        <f t="shared" si="1"/>
        <v>0</v>
      </c>
      <c r="H38" s="7"/>
    </row>
    <row r="39" spans="1:13" ht="14.25">
      <c r="A39" s="48">
        <v>18</v>
      </c>
      <c r="B39" s="357"/>
      <c r="C39" s="53" t="s">
        <v>271</v>
      </c>
      <c r="D39" s="48" t="s">
        <v>190</v>
      </c>
      <c r="E39" s="48">
        <v>158</v>
      </c>
      <c r="F39" s="377"/>
      <c r="G39" s="52">
        <f t="shared" si="1"/>
        <v>0</v>
      </c>
      <c r="H39" s="7"/>
      <c r="M39" s="34"/>
    </row>
    <row r="40" spans="1:13" ht="14.25">
      <c r="A40" s="48">
        <v>19</v>
      </c>
      <c r="B40" s="357"/>
      <c r="C40" s="53" t="s">
        <v>273</v>
      </c>
      <c r="D40" s="48" t="s">
        <v>190</v>
      </c>
      <c r="E40" s="48">
        <v>113</v>
      </c>
      <c r="F40" s="377"/>
      <c r="G40" s="52">
        <f t="shared" si="1"/>
        <v>0</v>
      </c>
      <c r="H40" s="7"/>
      <c r="I40" s="34"/>
      <c r="M40" s="34"/>
    </row>
    <row r="41" spans="1:14" ht="14.25">
      <c r="A41" s="48">
        <v>20</v>
      </c>
      <c r="B41" s="357"/>
      <c r="C41" s="53" t="s">
        <v>307</v>
      </c>
      <c r="D41" s="48" t="s">
        <v>190</v>
      </c>
      <c r="E41" s="48">
        <v>104</v>
      </c>
      <c r="F41" s="377"/>
      <c r="G41" s="52">
        <f t="shared" si="1"/>
        <v>0</v>
      </c>
      <c r="H41" s="7"/>
      <c r="N41" s="34"/>
    </row>
    <row r="42" spans="1:14" ht="14.25">
      <c r="A42" s="48">
        <v>21</v>
      </c>
      <c r="B42" s="357"/>
      <c r="C42" s="53" t="s">
        <v>308</v>
      </c>
      <c r="D42" s="48" t="s">
        <v>190</v>
      </c>
      <c r="E42" s="48">
        <v>222</v>
      </c>
      <c r="F42" s="377"/>
      <c r="G42" s="52">
        <f t="shared" si="1"/>
        <v>0</v>
      </c>
      <c r="H42" s="7"/>
      <c r="N42" s="34"/>
    </row>
    <row r="43" spans="1:14" ht="28.5">
      <c r="A43" s="48">
        <v>22</v>
      </c>
      <c r="B43" s="357"/>
      <c r="C43" s="53" t="s">
        <v>309</v>
      </c>
      <c r="D43" s="48" t="s">
        <v>191</v>
      </c>
      <c r="E43" s="48">
        <v>7</v>
      </c>
      <c r="F43" s="377"/>
      <c r="G43" s="52">
        <f t="shared" si="1"/>
        <v>0</v>
      </c>
      <c r="H43" s="7"/>
      <c r="N43" s="34"/>
    </row>
    <row r="44" spans="1:13" ht="28.5">
      <c r="A44" s="48">
        <v>23</v>
      </c>
      <c r="B44" s="357"/>
      <c r="C44" s="53" t="s">
        <v>352</v>
      </c>
      <c r="D44" s="48" t="s">
        <v>191</v>
      </c>
      <c r="E44" s="48">
        <v>5</v>
      </c>
      <c r="F44" s="377"/>
      <c r="G44" s="52">
        <f>E44*F44</f>
        <v>0</v>
      </c>
      <c r="H44" s="7"/>
      <c r="M44" s="34"/>
    </row>
    <row r="45" spans="1:15" ht="14.25">
      <c r="A45" s="48">
        <v>24</v>
      </c>
      <c r="B45" s="357"/>
      <c r="C45" s="53" t="s">
        <v>200</v>
      </c>
      <c r="D45" s="48" t="s">
        <v>191</v>
      </c>
      <c r="E45" s="48">
        <f>M8</f>
        <v>64</v>
      </c>
      <c r="F45" s="377"/>
      <c r="G45" s="52">
        <f t="shared" si="1"/>
        <v>0</v>
      </c>
      <c r="H45" s="7"/>
      <c r="O45" s="34"/>
    </row>
    <row r="46" spans="1:13" ht="42.75">
      <c r="A46" s="48">
        <v>25</v>
      </c>
      <c r="B46" s="357"/>
      <c r="C46" s="53" t="s">
        <v>233</v>
      </c>
      <c r="D46" s="48" t="s">
        <v>191</v>
      </c>
      <c r="E46" s="51">
        <v>17</v>
      </c>
      <c r="F46" s="377"/>
      <c r="G46" s="52">
        <f t="shared" si="1"/>
        <v>0</v>
      </c>
      <c r="H46" s="34"/>
      <c r="M46" s="34"/>
    </row>
    <row r="47" spans="1:8" ht="14.25">
      <c r="A47" s="48">
        <v>26</v>
      </c>
      <c r="B47" s="357"/>
      <c r="C47" s="49" t="s">
        <v>192</v>
      </c>
      <c r="D47" s="48" t="s">
        <v>193</v>
      </c>
      <c r="E47" s="51">
        <f>40*M11/2000</f>
        <v>12.82</v>
      </c>
      <c r="F47" s="377"/>
      <c r="G47" s="52">
        <f t="shared" si="1"/>
        <v>0</v>
      </c>
      <c r="H47" s="7"/>
    </row>
    <row r="48" spans="1:15" ht="14.25">
      <c r="A48" s="48">
        <v>27</v>
      </c>
      <c r="B48" s="357"/>
      <c r="C48" s="95" t="s">
        <v>282</v>
      </c>
      <c r="D48" s="48" t="s">
        <v>190</v>
      </c>
      <c r="E48" s="51">
        <f>E17</f>
        <v>64</v>
      </c>
      <c r="F48" s="377"/>
      <c r="G48" s="52">
        <f t="shared" si="1"/>
        <v>0</v>
      </c>
      <c r="H48" s="7"/>
      <c r="N48" s="30"/>
      <c r="O48" s="30"/>
    </row>
    <row r="49" spans="1:15" ht="16.5">
      <c r="A49" s="48">
        <v>28</v>
      </c>
      <c r="B49" s="357"/>
      <c r="C49" s="95" t="s">
        <v>283</v>
      </c>
      <c r="D49" s="48" t="s">
        <v>386</v>
      </c>
      <c r="E49" s="51">
        <f>E18</f>
        <v>128</v>
      </c>
      <c r="F49" s="377"/>
      <c r="G49" s="52">
        <f t="shared" si="1"/>
        <v>0</v>
      </c>
      <c r="H49" s="7"/>
      <c r="N49" s="30"/>
      <c r="O49" s="30"/>
    </row>
    <row r="50" spans="1:15" s="2" customFormat="1" ht="28.5">
      <c r="A50" s="48">
        <v>29</v>
      </c>
      <c r="B50" s="357"/>
      <c r="C50" s="77" t="s">
        <v>293</v>
      </c>
      <c r="D50" s="48" t="s">
        <v>195</v>
      </c>
      <c r="E50" s="82">
        <f>(E15+E16)*96/1000</f>
        <v>155.03040000000001</v>
      </c>
      <c r="F50" s="377"/>
      <c r="G50" s="52">
        <f t="shared" si="1"/>
        <v>0</v>
      </c>
      <c r="H50" s="7"/>
      <c r="I50" s="29"/>
      <c r="J50" s="29"/>
      <c r="K50" s="29"/>
      <c r="L50" s="29"/>
      <c r="M50" s="3"/>
      <c r="N50" s="29"/>
      <c r="O50" s="29"/>
    </row>
    <row r="51" spans="1:13" ht="28.5">
      <c r="A51" s="48">
        <v>30</v>
      </c>
      <c r="B51" s="357"/>
      <c r="C51" s="53" t="s">
        <v>295</v>
      </c>
      <c r="D51" s="83" t="s">
        <v>195</v>
      </c>
      <c r="E51" s="51">
        <f>(E15+E16)*0.06*2.4</f>
        <v>232.5456</v>
      </c>
      <c r="F51" s="377"/>
      <c r="G51" s="52">
        <f t="shared" si="1"/>
        <v>0</v>
      </c>
      <c r="H51" s="7"/>
      <c r="M51" s="30"/>
    </row>
    <row r="52" spans="1:15" s="2" customFormat="1" ht="28.5">
      <c r="A52" s="48">
        <v>31</v>
      </c>
      <c r="B52" s="357"/>
      <c r="C52" s="53" t="s">
        <v>21</v>
      </c>
      <c r="D52" s="83" t="s">
        <v>385</v>
      </c>
      <c r="E52" s="85">
        <v>688.98</v>
      </c>
      <c r="F52" s="377"/>
      <c r="G52" s="52">
        <f t="shared" si="1"/>
        <v>0</v>
      </c>
      <c r="H52" s="7"/>
      <c r="I52" s="29"/>
      <c r="J52" s="29"/>
      <c r="K52" s="29"/>
      <c r="L52" s="29"/>
      <c r="M52" s="3"/>
      <c r="N52" s="3"/>
      <c r="O52" s="6"/>
    </row>
    <row r="53" spans="1:15" s="2" customFormat="1" ht="14.25">
      <c r="A53" s="48">
        <v>32</v>
      </c>
      <c r="B53" s="357"/>
      <c r="C53" s="77" t="s">
        <v>194</v>
      </c>
      <c r="D53" s="74" t="s">
        <v>190</v>
      </c>
      <c r="E53" s="85">
        <f>E13</f>
        <v>1282</v>
      </c>
      <c r="F53" s="377"/>
      <c r="G53" s="52">
        <f t="shared" si="1"/>
        <v>0</v>
      </c>
      <c r="H53" s="7"/>
      <c r="I53" s="29"/>
      <c r="J53" s="29"/>
      <c r="K53" s="29"/>
      <c r="L53" s="29"/>
      <c r="M53" s="3"/>
      <c r="N53" s="29"/>
      <c r="O53" s="29"/>
    </row>
    <row r="54" spans="1:15" s="2" customFormat="1" ht="12.75" customHeight="1">
      <c r="A54" s="48">
        <v>33</v>
      </c>
      <c r="B54" s="357"/>
      <c r="C54" s="55" t="s">
        <v>201</v>
      </c>
      <c r="D54" s="50" t="s">
        <v>190</v>
      </c>
      <c r="E54" s="50">
        <f>M11</f>
        <v>641</v>
      </c>
      <c r="F54" s="377"/>
      <c r="G54" s="52">
        <f t="shared" si="1"/>
        <v>0</v>
      </c>
      <c r="H54" s="7"/>
      <c r="I54" s="29"/>
      <c r="J54" s="29"/>
      <c r="K54" s="29"/>
      <c r="L54" s="29"/>
      <c r="M54" s="29"/>
      <c r="N54" s="29"/>
      <c r="O54" s="29"/>
    </row>
    <row r="55" spans="5:7" ht="15">
      <c r="E55" s="57"/>
      <c r="F55" s="58" t="s">
        <v>364</v>
      </c>
      <c r="G55" s="59">
        <f>SUM(G13:G54)</f>
        <v>0</v>
      </c>
    </row>
    <row r="56" spans="5:7" ht="15" customHeight="1">
      <c r="E56" s="484" t="s">
        <v>206</v>
      </c>
      <c r="F56" s="484"/>
      <c r="G56" s="59">
        <f>G55*0.2</f>
        <v>0</v>
      </c>
    </row>
    <row r="57" spans="3:7" ht="15">
      <c r="C57" s="26"/>
      <c r="E57" s="57"/>
      <c r="F57" s="60" t="s">
        <v>365</v>
      </c>
      <c r="G57" s="59">
        <f>SUM(G55:G56)</f>
        <v>0</v>
      </c>
    </row>
    <row r="58" spans="3:5" ht="14.25">
      <c r="C58" s="61"/>
      <c r="D58" s="62"/>
      <c r="E58" s="62"/>
    </row>
    <row r="59" spans="2:16" ht="18.75">
      <c r="B59" s="63" t="s">
        <v>370</v>
      </c>
      <c r="C59" s="64" t="s">
        <v>371</v>
      </c>
      <c r="D59" s="62"/>
      <c r="E59" s="62"/>
      <c r="H59" s="28"/>
      <c r="I59" s="28"/>
      <c r="J59" s="28"/>
      <c r="K59" s="28"/>
      <c r="L59" s="28"/>
      <c r="M59" s="28"/>
      <c r="N59" s="28"/>
      <c r="O59" s="28"/>
      <c r="P59" s="28"/>
    </row>
    <row r="60" spans="8:16" ht="14.25">
      <c r="H60" s="28"/>
      <c r="I60" s="28"/>
      <c r="J60" s="28"/>
      <c r="K60" s="28"/>
      <c r="L60" s="28"/>
      <c r="M60" s="28"/>
      <c r="N60" s="28"/>
      <c r="O60" s="28"/>
      <c r="P60" s="28"/>
    </row>
    <row r="61" spans="8:16" ht="15" customHeight="1">
      <c r="H61" s="28"/>
      <c r="I61" s="28"/>
      <c r="J61" s="28"/>
      <c r="K61" s="28"/>
      <c r="L61" s="28"/>
      <c r="M61" s="28"/>
      <c r="N61" s="28"/>
      <c r="O61" s="28"/>
      <c r="P61" s="28"/>
    </row>
    <row r="62" spans="8:16" ht="14.25">
      <c r="H62" s="28"/>
      <c r="I62" s="28"/>
      <c r="J62" s="28"/>
      <c r="K62" s="28"/>
      <c r="L62" s="28"/>
      <c r="M62" s="28"/>
      <c r="N62" s="28"/>
      <c r="O62" s="28"/>
      <c r="P62" s="28"/>
    </row>
    <row r="63" spans="1:6" s="67" customFormat="1" ht="15">
      <c r="A63" s="65" t="s">
        <v>373</v>
      </c>
      <c r="B63" s="2"/>
      <c r="C63" s="65"/>
      <c r="D63" s="66" t="s">
        <v>374</v>
      </c>
      <c r="E63" s="24"/>
      <c r="F63" s="426"/>
    </row>
    <row r="64" spans="1:6" s="67" customFormat="1" ht="12.75">
      <c r="A64" s="11"/>
      <c r="B64" s="2"/>
      <c r="C64" s="11"/>
      <c r="D64" s="2"/>
      <c r="E64" s="24"/>
      <c r="F64" s="426"/>
    </row>
    <row r="65" spans="1:6" s="67" customFormat="1" ht="14.25">
      <c r="A65" s="11"/>
      <c r="B65" s="2"/>
      <c r="C65" s="68"/>
      <c r="D65" s="69" t="s">
        <v>375</v>
      </c>
      <c r="E65" s="24"/>
      <c r="F65" s="426"/>
    </row>
    <row r="66" spans="1:6" s="67" customFormat="1" ht="12.75">
      <c r="A66" s="11"/>
      <c r="B66" s="2"/>
      <c r="C66" s="11"/>
      <c r="D66" s="2"/>
      <c r="E66" s="70" t="s">
        <v>376</v>
      </c>
      <c r="F66" s="426"/>
    </row>
    <row r="67" spans="1:6" s="67" customFormat="1" ht="14.25">
      <c r="A67" s="11"/>
      <c r="B67" s="2"/>
      <c r="C67" s="68"/>
      <c r="D67" s="69" t="s">
        <v>377</v>
      </c>
      <c r="E67" s="24"/>
      <c r="F67" s="426"/>
    </row>
    <row r="68" spans="1:6" s="67" customFormat="1" ht="12.75">
      <c r="A68" s="11"/>
      <c r="B68" s="2"/>
      <c r="C68" s="11"/>
      <c r="D68" s="71" t="s">
        <v>378</v>
      </c>
      <c r="E68" s="24"/>
      <c r="F68" s="426"/>
    </row>
  </sheetData>
  <sheetProtection sheet="1" formatCells="0" formatColumns="0" formatRows="0" insertColumns="0" insertRows="0" insertHyperlinks="0" deleteColumns="0" deleteRows="0"/>
  <protectedRanges>
    <protectedRange password="CF7A" sqref="A59:E68" name="Range1"/>
    <protectedRange password="CF7A" sqref="A9:A12 C9:E12 B9:B10 B12" name="Range1_2"/>
    <protectedRange password="CF7A" sqref="F56 E55:E57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56:F56"/>
    <mergeCell ref="A28:A31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2755905511811024" bottom="0.2755905511811024" header="0.1968503937007874" footer="0.15748031496062992"/>
  <pageSetup fitToHeight="1" fitToWidth="1" horizontalDpi="600" verticalDpi="600" orientation="portrait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14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592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22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6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126.56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39.82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59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118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72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</f>
        <v>36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1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94.4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</f>
        <v>21.599999999999998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6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12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12.8</v>
      </c>
      <c r="F19" s="377"/>
      <c r="G19" s="52">
        <f t="shared" si="0"/>
        <v>0</v>
      </c>
      <c r="H19" s="7"/>
      <c r="I19" s="76">
        <f>SUM(I9:I18)</f>
        <v>166.38</v>
      </c>
      <c r="J19" s="76">
        <f>SUM(J9:J18)</f>
        <v>0</v>
      </c>
      <c r="K19" s="48">
        <f>SUM(I19:J19)</f>
        <v>166.38</v>
      </c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0.7*I19</f>
        <v>116.466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0.05*I19</f>
        <v>8.319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0.25*I19</f>
        <v>41.595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43.199999999999996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 customHeight="1">
      <c r="A26" s="497"/>
      <c r="B26" s="357"/>
      <c r="C26" s="53" t="s">
        <v>266</v>
      </c>
      <c r="D26" s="50" t="s">
        <v>385</v>
      </c>
      <c r="E26" s="51">
        <f>0.05*M13</f>
        <v>3.6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25.2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66.795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66.795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K19+M13</f>
        <v>238.38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57"/>
      <c r="C31" s="49" t="s">
        <v>387</v>
      </c>
      <c r="D31" s="48" t="s">
        <v>386</v>
      </c>
      <c r="E31" s="48">
        <f>M11*4</f>
        <v>236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57"/>
      <c r="C32" s="80" t="s">
        <v>42</v>
      </c>
      <c r="D32" s="50" t="s">
        <v>385</v>
      </c>
      <c r="E32" s="51">
        <f>0.1*1.1*M11</f>
        <v>6.490000000000001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57"/>
      <c r="C33" s="53" t="s">
        <v>43</v>
      </c>
      <c r="D33" s="50" t="s">
        <v>385</v>
      </c>
      <c r="E33" s="51">
        <f>E30-E32-E43-4.17</f>
        <v>179.22</v>
      </c>
      <c r="F33" s="377"/>
      <c r="G33" s="52">
        <f t="shared" si="1"/>
        <v>0</v>
      </c>
      <c r="H33" s="7"/>
    </row>
    <row r="34" spans="1:8" ht="14.25">
      <c r="A34" s="48">
        <v>16</v>
      </c>
      <c r="B34" s="357"/>
      <c r="C34" s="53" t="s">
        <v>291</v>
      </c>
      <c r="D34" s="48" t="s">
        <v>190</v>
      </c>
      <c r="E34" s="48">
        <v>59</v>
      </c>
      <c r="F34" s="377"/>
      <c r="G34" s="52">
        <f t="shared" si="1"/>
        <v>0</v>
      </c>
      <c r="H34" s="7"/>
    </row>
    <row r="35" spans="1:13" ht="28.5">
      <c r="A35" s="48">
        <v>17</v>
      </c>
      <c r="B35" s="357"/>
      <c r="C35" s="53" t="s">
        <v>309</v>
      </c>
      <c r="D35" s="48" t="s">
        <v>191</v>
      </c>
      <c r="E35" s="48">
        <v>1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57"/>
      <c r="C36" s="53" t="s">
        <v>200</v>
      </c>
      <c r="D36" s="48" t="s">
        <v>191</v>
      </c>
      <c r="E36" s="48">
        <f>M8</f>
        <v>6</v>
      </c>
      <c r="F36" s="377"/>
      <c r="G36" s="52">
        <f t="shared" si="1"/>
        <v>0</v>
      </c>
      <c r="H36" s="7"/>
      <c r="M36" s="34"/>
    </row>
    <row r="37" spans="1:13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1.18</v>
      </c>
      <c r="F38" s="377"/>
      <c r="G38" s="52">
        <f t="shared" si="1"/>
        <v>0</v>
      </c>
      <c r="H38" s="7"/>
    </row>
    <row r="39" spans="1:15" ht="14.25">
      <c r="A39" s="48">
        <v>21</v>
      </c>
      <c r="B39" s="357"/>
      <c r="C39" s="95" t="s">
        <v>282</v>
      </c>
      <c r="D39" s="48" t="s">
        <v>190</v>
      </c>
      <c r="E39" s="51">
        <f>E17</f>
        <v>6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57"/>
      <c r="C40" s="95" t="s">
        <v>283</v>
      </c>
      <c r="D40" s="48" t="s">
        <v>386</v>
      </c>
      <c r="E40" s="51">
        <f>E18</f>
        <v>12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11.136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3" ht="28.5">
      <c r="A42" s="48">
        <v>24</v>
      </c>
      <c r="B42" s="357"/>
      <c r="C42" s="53" t="s">
        <v>295</v>
      </c>
      <c r="D42" s="83" t="s">
        <v>195</v>
      </c>
      <c r="E42" s="51">
        <f>(E15+E16)*0.06*2.4</f>
        <v>16.704</v>
      </c>
      <c r="F42" s="377"/>
      <c r="G42" s="52">
        <f t="shared" si="1"/>
        <v>0</v>
      </c>
      <c r="H42" s="7"/>
      <c r="M42" s="30"/>
    </row>
    <row r="43" spans="1:15" s="2" customFormat="1" ht="28.5">
      <c r="A43" s="48">
        <v>25</v>
      </c>
      <c r="B43" s="357"/>
      <c r="C43" s="53" t="s">
        <v>21</v>
      </c>
      <c r="D43" s="83" t="s">
        <v>385</v>
      </c>
      <c r="E43" s="85">
        <v>48.5</v>
      </c>
      <c r="F43" s="377"/>
      <c r="G43" s="52">
        <f t="shared" si="1"/>
        <v>0</v>
      </c>
      <c r="H43" s="7"/>
      <c r="I43" s="29"/>
      <c r="J43" s="29"/>
      <c r="K43" s="29"/>
      <c r="L43" s="29"/>
      <c r="M43" s="3"/>
      <c r="N43" s="3"/>
      <c r="O43" s="6"/>
    </row>
    <row r="44" spans="1:15" s="2" customFormat="1" ht="14.25">
      <c r="A44" s="48">
        <v>26</v>
      </c>
      <c r="B44" s="357"/>
      <c r="C44" s="77" t="s">
        <v>194</v>
      </c>
      <c r="D44" s="74" t="s">
        <v>190</v>
      </c>
      <c r="E44" s="85">
        <f>E13</f>
        <v>118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29"/>
      <c r="O44" s="29"/>
    </row>
    <row r="45" spans="1:15" s="2" customFormat="1" ht="12.75" customHeight="1">
      <c r="A45" s="48">
        <v>27</v>
      </c>
      <c r="B45" s="357"/>
      <c r="C45" s="55" t="s">
        <v>201</v>
      </c>
      <c r="D45" s="50" t="s">
        <v>190</v>
      </c>
      <c r="E45" s="50">
        <f>M11</f>
        <v>59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7.281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593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23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24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21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317.86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87.08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515.05</v>
      </c>
      <c r="J11" s="48"/>
      <c r="K11" s="47"/>
      <c r="L11" s="48" t="s">
        <v>213</v>
      </c>
      <c r="M11" s="48">
        <v>340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123.98</v>
      </c>
      <c r="J12" s="48"/>
      <c r="K12" s="47"/>
      <c r="L12" s="48" t="s">
        <v>209</v>
      </c>
      <c r="M12" s="5">
        <v>1.7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680</v>
      </c>
      <c r="F13" s="377"/>
      <c r="G13" s="52">
        <f aca="true" t="shared" si="0" ref="G13:G19">E13*F13</f>
        <v>0</v>
      </c>
      <c r="H13" s="7"/>
      <c r="I13" s="48">
        <v>123.24</v>
      </c>
      <c r="J13" s="48"/>
      <c r="K13" s="47"/>
      <c r="L13" s="48" t="s">
        <v>208</v>
      </c>
      <c r="M13" s="48">
        <f>M8*M9*M10*2</f>
        <v>302.4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</f>
        <v>126</v>
      </c>
      <c r="F14" s="377"/>
      <c r="G14" s="52">
        <f t="shared" si="0"/>
        <v>0</v>
      </c>
      <c r="H14" s="7"/>
      <c r="I14" s="48">
        <v>31</v>
      </c>
      <c r="J14" s="48"/>
      <c r="K14" s="47"/>
      <c r="L14" s="48" t="s">
        <v>212</v>
      </c>
      <c r="M14" s="48">
        <v>8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578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</f>
        <v>75.6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21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42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69.56</v>
      </c>
      <c r="F19" s="377"/>
      <c r="G19" s="52">
        <f t="shared" si="0"/>
        <v>0</v>
      </c>
      <c r="H19" s="7"/>
      <c r="I19" s="76">
        <f>SUM(I9:I18)</f>
        <v>1198.21</v>
      </c>
      <c r="J19" s="76">
        <f>SUM(J9:J18)</f>
        <v>0</v>
      </c>
      <c r="K19" s="48">
        <f>SUM(I19:J19)</f>
        <v>1198.21</v>
      </c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0.7*I19</f>
        <v>838.747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0.05*I19</f>
        <v>59.910500000000006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0.25*I19</f>
        <v>299.5525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181.43999999999997</v>
      </c>
      <c r="F25" s="377"/>
      <c r="G25" s="52">
        <f aca="true" t="shared" si="1" ref="G25:G47">E25*F25</f>
        <v>0</v>
      </c>
      <c r="H25" s="7"/>
      <c r="I25" s="34"/>
      <c r="J25" s="34"/>
      <c r="K25" s="34"/>
    </row>
    <row r="26" spans="1:11" ht="16.5" customHeight="1">
      <c r="A26" s="497"/>
      <c r="B26" s="357"/>
      <c r="C26" s="53" t="s">
        <v>266</v>
      </c>
      <c r="D26" s="50" t="s">
        <v>385</v>
      </c>
      <c r="E26" s="51">
        <f>0.05*M13</f>
        <v>15.12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105.83999999999999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405.3925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405.3925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K19+M13</f>
        <v>1500.6100000000001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57"/>
      <c r="C31" s="49" t="s">
        <v>387</v>
      </c>
      <c r="D31" s="48" t="s">
        <v>386</v>
      </c>
      <c r="E31" s="48">
        <f>M11*4</f>
        <v>1360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57"/>
      <c r="C32" s="80" t="s">
        <v>42</v>
      </c>
      <c r="D32" s="50" t="s">
        <v>385</v>
      </c>
      <c r="E32" s="51">
        <f>0.1*1.1*E34+0.1*1.2*E35+0.1*1.3*E36</f>
        <v>39.910000000000004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57"/>
      <c r="C33" s="53" t="s">
        <v>43</v>
      </c>
      <c r="D33" s="50" t="s">
        <v>385</v>
      </c>
      <c r="E33" s="51">
        <f>E30-E32-E45-9.11-21.47-7.85</f>
        <v>1157.7200000000003</v>
      </c>
      <c r="F33" s="377"/>
      <c r="G33" s="52">
        <f t="shared" si="1"/>
        <v>0</v>
      </c>
      <c r="H33" s="7"/>
    </row>
    <row r="34" spans="1:8" ht="14.25">
      <c r="A34" s="48">
        <v>16</v>
      </c>
      <c r="B34" s="357"/>
      <c r="C34" s="53" t="s">
        <v>291</v>
      </c>
      <c r="D34" s="48" t="s">
        <v>190</v>
      </c>
      <c r="E34" s="48">
        <v>129</v>
      </c>
      <c r="F34" s="377"/>
      <c r="G34" s="52">
        <f t="shared" si="1"/>
        <v>0</v>
      </c>
      <c r="H34" s="7"/>
    </row>
    <row r="35" spans="1:13" ht="14.25">
      <c r="A35" s="48">
        <v>17</v>
      </c>
      <c r="B35" s="357"/>
      <c r="C35" s="53" t="s">
        <v>271</v>
      </c>
      <c r="D35" s="48" t="s">
        <v>190</v>
      </c>
      <c r="E35" s="48">
        <v>171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57"/>
      <c r="C36" s="53" t="s">
        <v>272</v>
      </c>
      <c r="D36" s="48" t="s">
        <v>190</v>
      </c>
      <c r="E36" s="48">
        <v>40</v>
      </c>
      <c r="F36" s="377"/>
      <c r="G36" s="52">
        <f t="shared" si="1"/>
        <v>0</v>
      </c>
      <c r="H36" s="7"/>
      <c r="M36" s="34"/>
    </row>
    <row r="37" spans="1:14" ht="28.5">
      <c r="A37" s="48">
        <v>19</v>
      </c>
      <c r="B37" s="357"/>
      <c r="C37" s="53" t="s">
        <v>309</v>
      </c>
      <c r="D37" s="48" t="s">
        <v>191</v>
      </c>
      <c r="E37" s="48">
        <f>M14</f>
        <v>8</v>
      </c>
      <c r="F37" s="377"/>
      <c r="G37" s="52">
        <f t="shared" si="1"/>
        <v>0</v>
      </c>
      <c r="H37" s="7"/>
      <c r="N37" s="34"/>
    </row>
    <row r="38" spans="1:13" ht="14.25">
      <c r="A38" s="48">
        <v>20</v>
      </c>
      <c r="B38" s="357"/>
      <c r="C38" s="53" t="s">
        <v>200</v>
      </c>
      <c r="D38" s="48" t="s">
        <v>191</v>
      </c>
      <c r="E38" s="48">
        <f>M8</f>
        <v>21</v>
      </c>
      <c r="F38" s="377"/>
      <c r="G38" s="52">
        <f t="shared" si="1"/>
        <v>0</v>
      </c>
      <c r="H38" s="7"/>
      <c r="M38" s="34"/>
    </row>
    <row r="39" spans="1:13" ht="42.75">
      <c r="A39" s="48">
        <v>21</v>
      </c>
      <c r="B39" s="357"/>
      <c r="C39" s="53" t="s">
        <v>233</v>
      </c>
      <c r="D39" s="48" t="s">
        <v>191</v>
      </c>
      <c r="E39" s="51">
        <v>8</v>
      </c>
      <c r="F39" s="377"/>
      <c r="G39" s="52">
        <f t="shared" si="1"/>
        <v>0</v>
      </c>
      <c r="H39" s="34"/>
      <c r="M39" s="34"/>
    </row>
    <row r="40" spans="1:8" ht="14.25">
      <c r="A40" s="48">
        <v>22</v>
      </c>
      <c r="B40" s="357"/>
      <c r="C40" s="49" t="s">
        <v>192</v>
      </c>
      <c r="D40" s="48" t="s">
        <v>193</v>
      </c>
      <c r="E40" s="51">
        <f>40*M11/2000</f>
        <v>6.8</v>
      </c>
      <c r="F40" s="377"/>
      <c r="G40" s="52">
        <f t="shared" si="1"/>
        <v>0</v>
      </c>
      <c r="H40" s="7"/>
    </row>
    <row r="41" spans="1:15" ht="14.25">
      <c r="A41" s="48">
        <v>23</v>
      </c>
      <c r="B41" s="357"/>
      <c r="C41" s="95" t="s">
        <v>282</v>
      </c>
      <c r="D41" s="48" t="s">
        <v>190</v>
      </c>
      <c r="E41" s="51">
        <f>E17</f>
        <v>21</v>
      </c>
      <c r="F41" s="377"/>
      <c r="G41" s="52">
        <f t="shared" si="1"/>
        <v>0</v>
      </c>
      <c r="H41" s="7"/>
      <c r="N41" s="30"/>
      <c r="O41" s="30"/>
    </row>
    <row r="42" spans="1:15" ht="16.5">
      <c r="A42" s="48">
        <v>24</v>
      </c>
      <c r="B42" s="357"/>
      <c r="C42" s="95" t="s">
        <v>283</v>
      </c>
      <c r="D42" s="48" t="s">
        <v>386</v>
      </c>
      <c r="E42" s="51">
        <f>E18</f>
        <v>42</v>
      </c>
      <c r="F42" s="377"/>
      <c r="G42" s="52">
        <f t="shared" si="1"/>
        <v>0</v>
      </c>
      <c r="H42" s="7"/>
      <c r="N42" s="30"/>
      <c r="O42" s="30"/>
    </row>
    <row r="43" spans="1:15" s="2" customFormat="1" ht="28.5">
      <c r="A43" s="48">
        <v>25</v>
      </c>
      <c r="B43" s="357"/>
      <c r="C43" s="77" t="s">
        <v>293</v>
      </c>
      <c r="D43" s="48" t="s">
        <v>195</v>
      </c>
      <c r="E43" s="82">
        <f>(E15+E16)*96/1000</f>
        <v>62.7456</v>
      </c>
      <c r="F43" s="377"/>
      <c r="G43" s="52">
        <f t="shared" si="1"/>
        <v>0</v>
      </c>
      <c r="H43" s="7"/>
      <c r="I43" s="29"/>
      <c r="J43" s="29"/>
      <c r="K43" s="29"/>
      <c r="L43" s="29"/>
      <c r="M43" s="3"/>
      <c r="N43" s="29"/>
      <c r="O43" s="29"/>
    </row>
    <row r="44" spans="1:13" ht="28.5">
      <c r="A44" s="48">
        <v>26</v>
      </c>
      <c r="B44" s="357"/>
      <c r="C44" s="53" t="s">
        <v>295</v>
      </c>
      <c r="D44" s="83" t="s">
        <v>195</v>
      </c>
      <c r="E44" s="51">
        <f>(E15+E16)*0.06*2.4</f>
        <v>94.1184</v>
      </c>
      <c r="F44" s="377"/>
      <c r="G44" s="52">
        <f t="shared" si="1"/>
        <v>0</v>
      </c>
      <c r="H44" s="7"/>
      <c r="M44" s="30"/>
    </row>
    <row r="45" spans="1:15" s="2" customFormat="1" ht="28.5">
      <c r="A45" s="48">
        <v>27</v>
      </c>
      <c r="B45" s="357"/>
      <c r="C45" s="53" t="s">
        <v>21</v>
      </c>
      <c r="D45" s="83" t="s">
        <v>385</v>
      </c>
      <c r="E45" s="85">
        <v>264.55</v>
      </c>
      <c r="F45" s="377"/>
      <c r="G45" s="52">
        <f t="shared" si="1"/>
        <v>0</v>
      </c>
      <c r="H45" s="7"/>
      <c r="I45" s="29"/>
      <c r="J45" s="29"/>
      <c r="K45" s="29"/>
      <c r="L45" s="29"/>
      <c r="M45" s="3"/>
      <c r="N45" s="3"/>
      <c r="O45" s="6"/>
    </row>
    <row r="46" spans="1:15" s="2" customFormat="1" ht="14.25">
      <c r="A46" s="48">
        <v>28</v>
      </c>
      <c r="B46" s="357"/>
      <c r="C46" s="77" t="s">
        <v>194</v>
      </c>
      <c r="D46" s="74" t="s">
        <v>190</v>
      </c>
      <c r="E46" s="85">
        <f>E13</f>
        <v>680</v>
      </c>
      <c r="F46" s="377"/>
      <c r="G46" s="52">
        <f t="shared" si="1"/>
        <v>0</v>
      </c>
      <c r="H46" s="7"/>
      <c r="I46" s="29"/>
      <c r="J46" s="29"/>
      <c r="K46" s="29"/>
      <c r="L46" s="29"/>
      <c r="M46" s="3"/>
      <c r="N46" s="29"/>
      <c r="O46" s="29"/>
    </row>
    <row r="47" spans="1:15" s="2" customFormat="1" ht="12.75" customHeight="1">
      <c r="A47" s="48">
        <v>29</v>
      </c>
      <c r="B47" s="357"/>
      <c r="C47" s="55" t="s">
        <v>201</v>
      </c>
      <c r="D47" s="50" t="s">
        <v>190</v>
      </c>
      <c r="E47" s="50">
        <f>M11</f>
        <v>340</v>
      </c>
      <c r="F47" s="377"/>
      <c r="G47" s="52">
        <f t="shared" si="1"/>
        <v>0</v>
      </c>
      <c r="H47" s="7"/>
      <c r="I47" s="29"/>
      <c r="J47" s="29"/>
      <c r="K47" s="29"/>
      <c r="L47" s="29"/>
      <c r="M47" s="29"/>
      <c r="N47" s="29"/>
      <c r="O47" s="29"/>
    </row>
    <row r="48" spans="5:7" ht="15">
      <c r="E48" s="57"/>
      <c r="F48" s="58" t="s">
        <v>364</v>
      </c>
      <c r="G48" s="59">
        <f>SUM(G13:G47)</f>
        <v>0</v>
      </c>
    </row>
    <row r="49" spans="5:7" ht="15" customHeight="1">
      <c r="E49" s="484" t="s">
        <v>206</v>
      </c>
      <c r="F49" s="484"/>
      <c r="G49" s="59">
        <f>G48*0.2</f>
        <v>0</v>
      </c>
    </row>
    <row r="50" spans="3:7" ht="15">
      <c r="C50" s="26"/>
      <c r="E50" s="57"/>
      <c r="F50" s="60" t="s">
        <v>365</v>
      </c>
      <c r="G50" s="59">
        <f>SUM(G48:G49)</f>
        <v>0</v>
      </c>
    </row>
    <row r="51" spans="3:5" ht="14.25">
      <c r="C51" s="61"/>
      <c r="D51" s="62"/>
      <c r="E51" s="62"/>
    </row>
    <row r="52" spans="2:16" ht="18.75">
      <c r="B52" s="63" t="s">
        <v>370</v>
      </c>
      <c r="C52" s="64" t="s">
        <v>371</v>
      </c>
      <c r="D52" s="62"/>
      <c r="E52" s="62"/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5" customHeight="1"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4.25">
      <c r="H55" s="28"/>
      <c r="I55" s="28"/>
      <c r="J55" s="28"/>
      <c r="K55" s="28"/>
      <c r="L55" s="28"/>
      <c r="M55" s="28"/>
      <c r="N55" s="28"/>
      <c r="O55" s="28"/>
      <c r="P55" s="28"/>
    </row>
    <row r="56" spans="1:6" s="67" customFormat="1" ht="15">
      <c r="A56" s="65" t="s">
        <v>373</v>
      </c>
      <c r="B56" s="2"/>
      <c r="C56" s="65"/>
      <c r="D56" s="66" t="s">
        <v>374</v>
      </c>
      <c r="E56" s="24"/>
      <c r="F56" s="426"/>
    </row>
    <row r="57" spans="1:6" s="67" customFormat="1" ht="12.75">
      <c r="A57" s="11"/>
      <c r="B57" s="2"/>
      <c r="C57" s="11"/>
      <c r="D57" s="2"/>
      <c r="E57" s="24"/>
      <c r="F57" s="426"/>
    </row>
    <row r="58" spans="1:6" s="67" customFormat="1" ht="14.25">
      <c r="A58" s="11"/>
      <c r="B58" s="2"/>
      <c r="C58" s="68"/>
      <c r="D58" s="69" t="s">
        <v>375</v>
      </c>
      <c r="E58" s="24"/>
      <c r="F58" s="426"/>
    </row>
    <row r="59" spans="1:6" s="67" customFormat="1" ht="12.75">
      <c r="A59" s="11"/>
      <c r="B59" s="2"/>
      <c r="C59" s="11"/>
      <c r="D59" s="2"/>
      <c r="E59" s="70" t="s">
        <v>376</v>
      </c>
      <c r="F59" s="426"/>
    </row>
    <row r="60" spans="1:6" s="67" customFormat="1" ht="14.25">
      <c r="A60" s="11"/>
      <c r="B60" s="2"/>
      <c r="C60" s="68"/>
      <c r="D60" s="69" t="s">
        <v>377</v>
      </c>
      <c r="E60" s="24"/>
      <c r="F60" s="426"/>
    </row>
    <row r="61" spans="1:6" s="67" customFormat="1" ht="12.75">
      <c r="A61" s="11"/>
      <c r="B61" s="2"/>
      <c r="C61" s="11"/>
      <c r="D61" s="71" t="s">
        <v>378</v>
      </c>
      <c r="E61" s="24"/>
      <c r="F61" s="426"/>
    </row>
  </sheetData>
  <sheetProtection sheet="1" formatCells="0" formatColumns="0" formatRows="0" insertColumns="0" insertRows="0" insertHyperlinks="0" deleteColumns="0" deleteRows="0"/>
  <protectedRanges>
    <protectedRange password="CF7A" sqref="A52:E61" name="Range1"/>
    <protectedRange password="CF7A" sqref="A9:A12 C9:E12 B9:B10 B12" name="Range1_2"/>
    <protectedRange password="CF7A" sqref="F49 E48:E50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9:F49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2755905511811024" bottom="0.31496062992125984" header="0.1968503937007874" footer="0.1968503937007874"/>
  <pageSetup fitToHeight="1" fitToWidth="1"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14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594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24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8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216.68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66.15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98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196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115.19999999999999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</f>
        <v>48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156.8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</f>
        <v>28.799999999999997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8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16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20.160000000000004</v>
      </c>
      <c r="F19" s="377"/>
      <c r="G19" s="52">
        <f t="shared" si="0"/>
        <v>0</v>
      </c>
      <c r="H19" s="7"/>
      <c r="I19" s="76">
        <f>SUM(I9:I18)</f>
        <v>282.83000000000004</v>
      </c>
      <c r="J19" s="76">
        <f>SUM(J9:J18)</f>
        <v>0</v>
      </c>
      <c r="K19" s="48">
        <f>SUM(I19:J19)</f>
        <v>282.83000000000004</v>
      </c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0.7*I19</f>
        <v>197.98100000000002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0.05*I19</f>
        <v>14.141500000000002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0.25*I19</f>
        <v>70.70750000000001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69.11999999999999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 customHeight="1">
      <c r="A26" s="497"/>
      <c r="B26" s="357"/>
      <c r="C26" s="53" t="s">
        <v>266</v>
      </c>
      <c r="D26" s="50" t="s">
        <v>385</v>
      </c>
      <c r="E26" s="51">
        <f>0.05*M13</f>
        <v>5.76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40.31999999999999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111.0275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111.0275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K19+M13</f>
        <v>398.03000000000003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57"/>
      <c r="C31" s="49" t="s">
        <v>387</v>
      </c>
      <c r="D31" s="48" t="s">
        <v>386</v>
      </c>
      <c r="E31" s="48">
        <f>M11*4</f>
        <v>392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57"/>
      <c r="C32" s="80" t="s">
        <v>42</v>
      </c>
      <c r="D32" s="50" t="s">
        <v>385</v>
      </c>
      <c r="E32" s="51">
        <f>0.1*1.1*M11</f>
        <v>10.780000000000001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57"/>
      <c r="C33" s="53" t="s">
        <v>43</v>
      </c>
      <c r="D33" s="50" t="s">
        <v>385</v>
      </c>
      <c r="E33" s="51">
        <f>E30-E32-E43-6.92</f>
        <v>304.19</v>
      </c>
      <c r="F33" s="377"/>
      <c r="G33" s="52">
        <f t="shared" si="1"/>
        <v>0</v>
      </c>
      <c r="H33" s="7"/>
    </row>
    <row r="34" spans="1:8" ht="14.25">
      <c r="A34" s="48">
        <v>16</v>
      </c>
      <c r="B34" s="357"/>
      <c r="C34" s="53" t="s">
        <v>291</v>
      </c>
      <c r="D34" s="48" t="s">
        <v>190</v>
      </c>
      <c r="E34" s="48">
        <f>M11</f>
        <v>98</v>
      </c>
      <c r="F34" s="377"/>
      <c r="G34" s="52">
        <f t="shared" si="1"/>
        <v>0</v>
      </c>
      <c r="H34" s="7"/>
    </row>
    <row r="35" spans="1:13" ht="28.5">
      <c r="A35" s="48">
        <v>17</v>
      </c>
      <c r="B35" s="357"/>
      <c r="C35" s="53" t="s">
        <v>309</v>
      </c>
      <c r="D35" s="48" t="s">
        <v>191</v>
      </c>
      <c r="E35" s="48">
        <v>2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57"/>
      <c r="C36" s="53" t="s">
        <v>200</v>
      </c>
      <c r="D36" s="48" t="s">
        <v>191</v>
      </c>
      <c r="E36" s="48">
        <f>M8</f>
        <v>8</v>
      </c>
      <c r="F36" s="377"/>
      <c r="G36" s="52">
        <f t="shared" si="1"/>
        <v>0</v>
      </c>
      <c r="H36" s="7"/>
      <c r="M36" s="34"/>
    </row>
    <row r="37" spans="1:13" ht="42.75">
      <c r="A37" s="48">
        <v>19</v>
      </c>
      <c r="B37" s="357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57"/>
      <c r="C38" s="49" t="s">
        <v>192</v>
      </c>
      <c r="D38" s="48" t="s">
        <v>193</v>
      </c>
      <c r="E38" s="51">
        <f>40*M11/2000</f>
        <v>1.96</v>
      </c>
      <c r="F38" s="377"/>
      <c r="G38" s="52">
        <f t="shared" si="1"/>
        <v>0</v>
      </c>
      <c r="H38" s="7"/>
    </row>
    <row r="39" spans="1:15" ht="14.25">
      <c r="A39" s="48">
        <v>21</v>
      </c>
      <c r="B39" s="357"/>
      <c r="C39" s="95" t="s">
        <v>282</v>
      </c>
      <c r="D39" s="48" t="s">
        <v>190</v>
      </c>
      <c r="E39" s="51">
        <f>E17</f>
        <v>8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57"/>
      <c r="C40" s="95" t="s">
        <v>283</v>
      </c>
      <c r="D40" s="48" t="s">
        <v>386</v>
      </c>
      <c r="E40" s="51">
        <f>E18</f>
        <v>16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57"/>
      <c r="C41" s="77" t="s">
        <v>293</v>
      </c>
      <c r="D41" s="48" t="s">
        <v>195</v>
      </c>
      <c r="E41" s="82">
        <f>(E15+E16)*96/1000</f>
        <v>17.817600000000002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3" ht="28.5">
      <c r="A42" s="48">
        <v>24</v>
      </c>
      <c r="B42" s="357"/>
      <c r="C42" s="53" t="s">
        <v>295</v>
      </c>
      <c r="D42" s="83" t="s">
        <v>195</v>
      </c>
      <c r="E42" s="51">
        <f>(E15+E16)*0.06*2.4</f>
        <v>26.7264</v>
      </c>
      <c r="F42" s="377"/>
      <c r="G42" s="52">
        <f t="shared" si="1"/>
        <v>0</v>
      </c>
      <c r="H42" s="7"/>
      <c r="M42" s="30"/>
    </row>
    <row r="43" spans="1:15" s="2" customFormat="1" ht="28.5">
      <c r="A43" s="48">
        <v>25</v>
      </c>
      <c r="B43" s="357"/>
      <c r="C43" s="53" t="s">
        <v>21</v>
      </c>
      <c r="D43" s="83" t="s">
        <v>385</v>
      </c>
      <c r="E43" s="85">
        <v>76.14</v>
      </c>
      <c r="F43" s="377"/>
      <c r="G43" s="52">
        <f t="shared" si="1"/>
        <v>0</v>
      </c>
      <c r="H43" s="7"/>
      <c r="I43" s="29"/>
      <c r="J43" s="29"/>
      <c r="K43" s="29"/>
      <c r="L43" s="29"/>
      <c r="M43" s="3"/>
      <c r="N43" s="3"/>
      <c r="O43" s="6"/>
    </row>
    <row r="44" spans="1:15" s="2" customFormat="1" ht="14.25">
      <c r="A44" s="48">
        <v>26</v>
      </c>
      <c r="B44" s="357"/>
      <c r="C44" s="77" t="s">
        <v>194</v>
      </c>
      <c r="D44" s="74" t="s">
        <v>190</v>
      </c>
      <c r="E44" s="85">
        <f>E13</f>
        <v>196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29"/>
      <c r="O44" s="29"/>
    </row>
    <row r="45" spans="1:15" s="2" customFormat="1" ht="12.75" customHeight="1">
      <c r="A45" s="48">
        <v>27</v>
      </c>
      <c r="B45" s="357"/>
      <c r="C45" s="55" t="s">
        <v>201</v>
      </c>
      <c r="D45" s="50" t="s">
        <v>190</v>
      </c>
      <c r="E45" s="50">
        <f>M11</f>
        <v>98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574218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595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25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7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138.24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47.92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71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142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100.80000000000001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M8*3.5*2</f>
        <v>49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113.60000000000001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M8*M9*3.5</f>
        <v>29.400000000000002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</f>
        <v>7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</f>
        <v>14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15.700000000000001</v>
      </c>
      <c r="F19" s="377"/>
      <c r="G19" s="52">
        <f t="shared" si="0"/>
        <v>0</v>
      </c>
      <c r="H19" s="7"/>
      <c r="I19" s="76">
        <f>SUM(I9:I18)</f>
        <v>186.16000000000003</v>
      </c>
      <c r="J19" s="76">
        <f>SUM(J9:J18)</f>
        <v>0</v>
      </c>
      <c r="K19" s="48">
        <f>SUM(I19:J19)</f>
        <v>186.16000000000003</v>
      </c>
      <c r="L19" s="34"/>
      <c r="M19" s="34"/>
    </row>
    <row r="20" spans="1:12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0.7*I19</f>
        <v>130.312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0.05*I19</f>
        <v>9.308000000000002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0.25*I19</f>
        <v>46.540000000000006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57"/>
      <c r="C25" s="49" t="s">
        <v>199</v>
      </c>
      <c r="D25" s="50" t="s">
        <v>385</v>
      </c>
      <c r="E25" s="51">
        <f>0.6*M13</f>
        <v>60.480000000000004</v>
      </c>
      <c r="F25" s="377"/>
      <c r="G25" s="52">
        <f aca="true" t="shared" si="1" ref="G25:G47">E25*F25</f>
        <v>0</v>
      </c>
      <c r="H25" s="7"/>
      <c r="I25" s="34"/>
      <c r="J25" s="34"/>
      <c r="K25" s="34"/>
    </row>
    <row r="26" spans="1:11" ht="16.5" customHeight="1">
      <c r="A26" s="497"/>
      <c r="B26" s="357"/>
      <c r="C26" s="53" t="s">
        <v>266</v>
      </c>
      <c r="D26" s="50" t="s">
        <v>385</v>
      </c>
      <c r="E26" s="51">
        <f>0.05*M13</f>
        <v>5.040000000000001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57"/>
      <c r="C27" s="49" t="s">
        <v>267</v>
      </c>
      <c r="D27" s="50" t="s">
        <v>385</v>
      </c>
      <c r="E27" s="51">
        <f>0.35*M13</f>
        <v>35.28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81.82000000000001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57"/>
      <c r="C29" s="55" t="s">
        <v>197</v>
      </c>
      <c r="D29" s="50" t="s">
        <v>385</v>
      </c>
      <c r="E29" s="81">
        <f>E28</f>
        <v>81.82000000000001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57"/>
      <c r="C30" s="80" t="s">
        <v>41</v>
      </c>
      <c r="D30" s="50" t="s">
        <v>385</v>
      </c>
      <c r="E30" s="51">
        <f>K19+M13</f>
        <v>286.96000000000004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57"/>
      <c r="C31" s="49" t="s">
        <v>387</v>
      </c>
      <c r="D31" s="48" t="s">
        <v>386</v>
      </c>
      <c r="E31" s="48">
        <f>M11*4</f>
        <v>284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57"/>
      <c r="C32" s="80" t="s">
        <v>42</v>
      </c>
      <c r="D32" s="50" t="s">
        <v>385</v>
      </c>
      <c r="E32" s="51">
        <f>0.1*1.1*M11</f>
        <v>7.810000000000001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57"/>
      <c r="C33" s="53" t="s">
        <v>43</v>
      </c>
      <c r="D33" s="50" t="s">
        <v>385</v>
      </c>
      <c r="E33" s="51">
        <f>E30-E32-E45-5.02</f>
        <v>222.56000000000003</v>
      </c>
      <c r="F33" s="377"/>
      <c r="G33" s="52">
        <f t="shared" si="1"/>
        <v>0</v>
      </c>
      <c r="H33" s="7"/>
    </row>
    <row r="34" spans="1:8" ht="14.25">
      <c r="A34" s="48">
        <v>16</v>
      </c>
      <c r="B34" s="357"/>
      <c r="C34" s="53" t="s">
        <v>291</v>
      </c>
      <c r="D34" s="48" t="s">
        <v>190</v>
      </c>
      <c r="E34" s="48">
        <f>M11</f>
        <v>71</v>
      </c>
      <c r="F34" s="377"/>
      <c r="G34" s="52">
        <f t="shared" si="1"/>
        <v>0</v>
      </c>
      <c r="H34" s="7"/>
    </row>
    <row r="35" spans="1:13" ht="28.5">
      <c r="A35" s="48">
        <v>17</v>
      </c>
      <c r="B35" s="357"/>
      <c r="C35" s="53" t="s">
        <v>69</v>
      </c>
      <c r="D35" s="48" t="s">
        <v>191</v>
      </c>
      <c r="E35" s="48">
        <v>1</v>
      </c>
      <c r="F35" s="377"/>
      <c r="G35" s="52">
        <f>E35*F35</f>
        <v>0</v>
      </c>
      <c r="H35" s="7"/>
      <c r="M35" s="34"/>
    </row>
    <row r="36" spans="1:13" ht="28.5">
      <c r="A36" s="48">
        <v>18</v>
      </c>
      <c r="B36" s="357"/>
      <c r="C36" s="53" t="s">
        <v>309</v>
      </c>
      <c r="D36" s="48" t="s">
        <v>191</v>
      </c>
      <c r="E36" s="48">
        <v>1</v>
      </c>
      <c r="F36" s="377"/>
      <c r="G36" s="52">
        <f t="shared" si="1"/>
        <v>0</v>
      </c>
      <c r="H36" s="7"/>
      <c r="M36" s="34"/>
    </row>
    <row r="37" spans="1:13" ht="14.25">
      <c r="A37" s="48">
        <v>19</v>
      </c>
      <c r="B37" s="357"/>
      <c r="C37" s="53" t="s">
        <v>200</v>
      </c>
      <c r="D37" s="48" t="s">
        <v>191</v>
      </c>
      <c r="E37" s="48">
        <f>M8</f>
        <v>7</v>
      </c>
      <c r="F37" s="377"/>
      <c r="G37" s="52">
        <f t="shared" si="1"/>
        <v>0</v>
      </c>
      <c r="H37" s="7"/>
      <c r="M37" s="34"/>
    </row>
    <row r="38" spans="1:13" ht="42.75">
      <c r="A38" s="48">
        <v>20</v>
      </c>
      <c r="B38" s="357"/>
      <c r="C38" s="53" t="s">
        <v>233</v>
      </c>
      <c r="D38" s="48" t="s">
        <v>191</v>
      </c>
      <c r="E38" s="51">
        <v>2</v>
      </c>
      <c r="F38" s="377"/>
      <c r="G38" s="52">
        <f t="shared" si="1"/>
        <v>0</v>
      </c>
      <c r="H38" s="34"/>
      <c r="M38" s="34"/>
    </row>
    <row r="39" spans="1:8" ht="14.25">
      <c r="A39" s="48">
        <v>21</v>
      </c>
      <c r="B39" s="357"/>
      <c r="C39" s="49" t="s">
        <v>192</v>
      </c>
      <c r="D39" s="48" t="s">
        <v>193</v>
      </c>
      <c r="E39" s="51">
        <f>40*M11/2000</f>
        <v>1.42</v>
      </c>
      <c r="F39" s="377"/>
      <c r="G39" s="52">
        <f t="shared" si="1"/>
        <v>0</v>
      </c>
      <c r="H39" s="7"/>
    </row>
    <row r="40" spans="1:15" ht="14.25">
      <c r="A40" s="48">
        <v>22</v>
      </c>
      <c r="B40" s="357"/>
      <c r="C40" s="95" t="s">
        <v>282</v>
      </c>
      <c r="D40" s="48" t="s">
        <v>190</v>
      </c>
      <c r="E40" s="51">
        <f>E17</f>
        <v>7</v>
      </c>
      <c r="F40" s="377"/>
      <c r="G40" s="52">
        <f t="shared" si="1"/>
        <v>0</v>
      </c>
      <c r="H40" s="7"/>
      <c r="N40" s="30"/>
      <c r="O40" s="30"/>
    </row>
    <row r="41" spans="1:15" ht="16.5">
      <c r="A41" s="48">
        <v>23</v>
      </c>
      <c r="B41" s="357"/>
      <c r="C41" s="95" t="s">
        <v>283</v>
      </c>
      <c r="D41" s="48" t="s">
        <v>386</v>
      </c>
      <c r="E41" s="51">
        <f>E18</f>
        <v>14</v>
      </c>
      <c r="F41" s="377"/>
      <c r="G41" s="52">
        <f t="shared" si="1"/>
        <v>0</v>
      </c>
      <c r="H41" s="7"/>
      <c r="N41" s="30"/>
      <c r="O41" s="30"/>
    </row>
    <row r="42" spans="1:15" s="2" customFormat="1" ht="28.5">
      <c r="A42" s="48">
        <v>24</v>
      </c>
      <c r="B42" s="357"/>
      <c r="C42" s="77" t="s">
        <v>293</v>
      </c>
      <c r="D42" s="48" t="s">
        <v>195</v>
      </c>
      <c r="E42" s="82">
        <f>(E15+E16)*96/1000</f>
        <v>13.728</v>
      </c>
      <c r="F42" s="377"/>
      <c r="G42" s="52">
        <f t="shared" si="1"/>
        <v>0</v>
      </c>
      <c r="H42" s="7"/>
      <c r="I42" s="29"/>
      <c r="J42" s="29"/>
      <c r="K42" s="29"/>
      <c r="L42" s="29"/>
      <c r="M42" s="3"/>
      <c r="N42" s="29"/>
      <c r="O42" s="29"/>
    </row>
    <row r="43" spans="1:13" ht="28.5">
      <c r="A43" s="48">
        <v>25</v>
      </c>
      <c r="B43" s="357"/>
      <c r="C43" s="77" t="s">
        <v>294</v>
      </c>
      <c r="D43" s="48" t="s">
        <v>195</v>
      </c>
      <c r="E43" s="82">
        <f>E42</f>
        <v>13.728</v>
      </c>
      <c r="F43" s="377"/>
      <c r="G43" s="52">
        <f t="shared" si="1"/>
        <v>0</v>
      </c>
      <c r="H43" s="7"/>
      <c r="M43" s="30"/>
    </row>
    <row r="44" spans="1:14" ht="28.5">
      <c r="A44" s="48">
        <v>26</v>
      </c>
      <c r="B44" s="357"/>
      <c r="C44" s="53" t="s">
        <v>30</v>
      </c>
      <c r="D44" s="83" t="s">
        <v>195</v>
      </c>
      <c r="E44" s="51">
        <f>(E15+E16)*0.12*2.4</f>
        <v>41.184</v>
      </c>
      <c r="F44" s="377"/>
      <c r="G44" s="52">
        <f>E44*F44</f>
        <v>0</v>
      </c>
      <c r="H44" s="7"/>
      <c r="I44" s="34"/>
      <c r="N44" s="30"/>
    </row>
    <row r="45" spans="1:15" s="2" customFormat="1" ht="28.5">
      <c r="A45" s="48">
        <v>27</v>
      </c>
      <c r="B45" s="357"/>
      <c r="C45" s="53" t="s">
        <v>70</v>
      </c>
      <c r="D45" s="83" t="s">
        <v>385</v>
      </c>
      <c r="E45" s="85">
        <v>51.57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1:15" s="2" customFormat="1" ht="14.25">
      <c r="A46" s="48">
        <v>28</v>
      </c>
      <c r="B46" s="357"/>
      <c r="C46" s="77" t="s">
        <v>194</v>
      </c>
      <c r="D46" s="74" t="s">
        <v>190</v>
      </c>
      <c r="E46" s="85">
        <f>E13</f>
        <v>142</v>
      </c>
      <c r="F46" s="377"/>
      <c r="G46" s="52">
        <f t="shared" si="1"/>
        <v>0</v>
      </c>
      <c r="H46" s="7"/>
      <c r="I46" s="29"/>
      <c r="J46" s="29"/>
      <c r="K46" s="29"/>
      <c r="L46" s="29"/>
      <c r="M46" s="3"/>
      <c r="N46" s="29"/>
      <c r="O46" s="29"/>
    </row>
    <row r="47" spans="1:15" s="2" customFormat="1" ht="12.75" customHeight="1">
      <c r="A47" s="48">
        <v>29</v>
      </c>
      <c r="B47" s="357"/>
      <c r="C47" s="55" t="s">
        <v>201</v>
      </c>
      <c r="D47" s="50" t="s">
        <v>190</v>
      </c>
      <c r="E47" s="50">
        <f>M11</f>
        <v>71</v>
      </c>
      <c r="F47" s="377"/>
      <c r="G47" s="52">
        <f t="shared" si="1"/>
        <v>0</v>
      </c>
      <c r="H47" s="7"/>
      <c r="I47" s="29"/>
      <c r="J47" s="29"/>
      <c r="K47" s="29"/>
      <c r="L47" s="29"/>
      <c r="M47" s="29"/>
      <c r="N47" s="29"/>
      <c r="O47" s="29"/>
    </row>
    <row r="48" spans="5:7" ht="15">
      <c r="E48" s="57"/>
      <c r="F48" s="58" t="s">
        <v>364</v>
      </c>
      <c r="G48" s="59">
        <f>SUM(G13:G47)</f>
        <v>0</v>
      </c>
    </row>
    <row r="49" spans="5:7" ht="15" customHeight="1">
      <c r="E49" s="484" t="s">
        <v>206</v>
      </c>
      <c r="F49" s="484"/>
      <c r="G49" s="59">
        <f>G48*0.2</f>
        <v>0</v>
      </c>
    </row>
    <row r="50" spans="3:7" ht="15">
      <c r="C50" s="26"/>
      <c r="E50" s="57"/>
      <c r="F50" s="60" t="s">
        <v>365</v>
      </c>
      <c r="G50" s="59">
        <f>SUM(G48:G49)</f>
        <v>0</v>
      </c>
    </row>
    <row r="51" spans="3:5" ht="14.25">
      <c r="C51" s="61"/>
      <c r="D51" s="62"/>
      <c r="E51" s="62"/>
    </row>
    <row r="52" spans="2:16" ht="18.75">
      <c r="B52" s="63" t="s">
        <v>370</v>
      </c>
      <c r="C52" s="64" t="s">
        <v>371</v>
      </c>
      <c r="D52" s="62"/>
      <c r="E52" s="62"/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5" customHeight="1"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4.25">
      <c r="H55" s="28"/>
      <c r="I55" s="28"/>
      <c r="J55" s="28"/>
      <c r="K55" s="28"/>
      <c r="L55" s="28"/>
      <c r="M55" s="28"/>
      <c r="N55" s="28"/>
      <c r="O55" s="28"/>
      <c r="P55" s="28"/>
    </row>
    <row r="56" spans="1:6" s="67" customFormat="1" ht="15">
      <c r="A56" s="65" t="s">
        <v>373</v>
      </c>
      <c r="B56" s="2"/>
      <c r="C56" s="65"/>
      <c r="D56" s="66" t="s">
        <v>374</v>
      </c>
      <c r="E56" s="24"/>
      <c r="F56" s="426"/>
    </row>
    <row r="57" spans="1:6" s="67" customFormat="1" ht="12.75">
      <c r="A57" s="11"/>
      <c r="B57" s="2"/>
      <c r="C57" s="11"/>
      <c r="D57" s="2"/>
      <c r="E57" s="24"/>
      <c r="F57" s="426"/>
    </row>
    <row r="58" spans="1:6" s="67" customFormat="1" ht="14.25">
      <c r="A58" s="11"/>
      <c r="B58" s="2"/>
      <c r="C58" s="68"/>
      <c r="D58" s="69" t="s">
        <v>375</v>
      </c>
      <c r="E58" s="24"/>
      <c r="F58" s="426"/>
    </row>
    <row r="59" spans="1:6" s="67" customFormat="1" ht="12.75">
      <c r="A59" s="11"/>
      <c r="B59" s="2"/>
      <c r="C59" s="11"/>
      <c r="D59" s="2"/>
      <c r="E59" s="70" t="s">
        <v>376</v>
      </c>
      <c r="F59" s="426"/>
    </row>
    <row r="60" spans="1:6" s="67" customFormat="1" ht="14.25">
      <c r="A60" s="11"/>
      <c r="B60" s="2"/>
      <c r="C60" s="68"/>
      <c r="D60" s="69" t="s">
        <v>377</v>
      </c>
      <c r="E60" s="24"/>
      <c r="F60" s="426"/>
    </row>
    <row r="61" spans="1:6" s="67" customFormat="1" ht="12.75">
      <c r="A61" s="11"/>
      <c r="B61" s="2"/>
      <c r="C61" s="11"/>
      <c r="D61" s="71" t="s">
        <v>378</v>
      </c>
      <c r="E61" s="24"/>
      <c r="F61" s="426"/>
    </row>
  </sheetData>
  <sheetProtection sheet="1" formatCells="0" formatColumns="0" formatRows="0" insertColumns="0" insertRows="0" insertHyperlinks="0" deleteColumns="0" deleteRows="0"/>
  <protectedRanges>
    <protectedRange password="CF7A" sqref="A52:E61" name="Range1"/>
    <protectedRange password="CF7A" sqref="A9:A12 C9:E12 B9:B10 B12" name="Range1_2"/>
    <protectedRange password="CF7A" sqref="F49 E48:E50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9:F49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5748031496062992" top="0.2755905511811024" bottom="0.31496062992125984" header="0.1968503937007874" footer="0.15748031496062992"/>
  <pageSetup fitToHeight="1" fitToWidth="1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281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7.8515625" style="29" customWidth="1"/>
    <col min="9" max="9" width="8.00390625" style="29" bestFit="1" customWidth="1"/>
    <col min="10" max="10" width="8.57421875" style="29" customWidth="1"/>
    <col min="11" max="11" width="7.8515625" style="29" customWidth="1"/>
    <col min="12" max="12" width="8.8515625" style="29" customWidth="1"/>
    <col min="13" max="13" width="9.140625" style="29" customWidth="1"/>
    <col min="14" max="14" width="8.140625" style="29" customWidth="1"/>
    <col min="15" max="15" width="9.57421875" style="29" customWidth="1"/>
    <col min="16" max="16" width="7.8515625" style="29" customWidth="1"/>
    <col min="17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596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26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2.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128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1650.53</v>
      </c>
      <c r="J9" s="73">
        <v>605.92</v>
      </c>
      <c r="K9" s="73">
        <v>781.68</v>
      </c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377.73</v>
      </c>
      <c r="J10" s="48">
        <v>98.42</v>
      </c>
      <c r="K10" s="48">
        <v>118.58</v>
      </c>
      <c r="L10" s="47"/>
      <c r="M10" s="48" t="s">
        <v>351</v>
      </c>
      <c r="N10" s="48">
        <v>7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383.52</v>
      </c>
      <c r="J11" s="48">
        <v>391.04</v>
      </c>
      <c r="K11" s="48"/>
      <c r="L11" s="47"/>
      <c r="M11" s="48" t="s">
        <v>213</v>
      </c>
      <c r="N11" s="48">
        <v>2004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76.72</v>
      </c>
      <c r="J12" s="48">
        <v>62</v>
      </c>
      <c r="K12" s="48"/>
      <c r="L12" s="47"/>
      <c r="M12" s="48" t="s">
        <v>209</v>
      </c>
      <c r="N12" s="5">
        <v>1.95</v>
      </c>
      <c r="O12" s="48" t="s">
        <v>284</v>
      </c>
      <c r="P12" s="48"/>
    </row>
    <row r="13" spans="1:16" ht="14.25">
      <c r="A13" s="48">
        <v>1</v>
      </c>
      <c r="B13" s="357"/>
      <c r="C13" s="53" t="s">
        <v>258</v>
      </c>
      <c r="D13" s="48" t="s">
        <v>190</v>
      </c>
      <c r="E13" s="51">
        <f>N11*2</f>
        <v>4008</v>
      </c>
      <c r="F13" s="377"/>
      <c r="G13" s="52">
        <f aca="true" t="shared" si="0" ref="G13:G19">E13*F13</f>
        <v>0</v>
      </c>
      <c r="H13" s="7"/>
      <c r="I13" s="48">
        <v>245.2</v>
      </c>
      <c r="J13" s="48">
        <v>1424.85</v>
      </c>
      <c r="K13" s="48"/>
      <c r="L13" s="47"/>
      <c r="M13" s="48" t="s">
        <v>208</v>
      </c>
      <c r="N13" s="48">
        <f>N8*N9*2*N10</f>
        <v>2150.4</v>
      </c>
      <c r="O13" s="48" t="s">
        <v>253</v>
      </c>
      <c r="P13" s="48"/>
    </row>
    <row r="14" spans="1:16" ht="14.25">
      <c r="A14" s="48">
        <v>2</v>
      </c>
      <c r="B14" s="357"/>
      <c r="C14" s="53" t="s">
        <v>37</v>
      </c>
      <c r="D14" s="48" t="s">
        <v>190</v>
      </c>
      <c r="E14" s="51">
        <f>N8*5*2</f>
        <v>1280</v>
      </c>
      <c r="F14" s="377"/>
      <c r="G14" s="52">
        <f t="shared" si="0"/>
        <v>0</v>
      </c>
      <c r="H14" s="7"/>
      <c r="I14" s="48">
        <v>51.98</v>
      </c>
      <c r="J14" s="48">
        <v>243.38</v>
      </c>
      <c r="K14" s="48"/>
      <c r="L14" s="75"/>
      <c r="M14" s="48" t="s">
        <v>212</v>
      </c>
      <c r="N14" s="48">
        <v>39</v>
      </c>
      <c r="O14" s="48" t="s">
        <v>209</v>
      </c>
      <c r="P14" s="48"/>
    </row>
    <row r="15" spans="1:16" ht="28.5">
      <c r="A15" s="48">
        <v>3</v>
      </c>
      <c r="B15" s="357"/>
      <c r="C15" s="53" t="s">
        <v>260</v>
      </c>
      <c r="D15" s="48" t="s">
        <v>386</v>
      </c>
      <c r="E15" s="51">
        <f>N11*N12</f>
        <v>3907.7999999999997</v>
      </c>
      <c r="F15" s="377"/>
      <c r="G15" s="52">
        <f t="shared" si="0"/>
        <v>0</v>
      </c>
      <c r="H15" s="7"/>
      <c r="I15" s="48">
        <v>349.58</v>
      </c>
      <c r="J15" s="48">
        <v>260.26</v>
      </c>
      <c r="K15" s="48"/>
      <c r="L15" s="75"/>
      <c r="M15" s="48" t="s">
        <v>33</v>
      </c>
      <c r="N15" s="48"/>
      <c r="O15" s="48" t="s">
        <v>216</v>
      </c>
      <c r="P15" s="48"/>
    </row>
    <row r="16" spans="1:14" ht="28.5">
      <c r="A16" s="48">
        <v>4</v>
      </c>
      <c r="B16" s="357"/>
      <c r="C16" s="53" t="s">
        <v>38</v>
      </c>
      <c r="D16" s="48" t="s">
        <v>386</v>
      </c>
      <c r="E16" s="51">
        <f>N8*N9*5</f>
        <v>768</v>
      </c>
      <c r="F16" s="377"/>
      <c r="G16" s="52">
        <f t="shared" si="0"/>
        <v>0</v>
      </c>
      <c r="H16" s="7"/>
      <c r="I16" s="48">
        <v>69.12</v>
      </c>
      <c r="J16" s="48">
        <v>45.38</v>
      </c>
      <c r="K16" s="48"/>
      <c r="L16" s="75"/>
      <c r="M16" s="34"/>
      <c r="N16" s="34"/>
    </row>
    <row r="17" spans="1:14" ht="14.25">
      <c r="A17" s="48">
        <v>5</v>
      </c>
      <c r="B17" s="357"/>
      <c r="C17" s="53" t="s">
        <v>39</v>
      </c>
      <c r="D17" s="48" t="s">
        <v>190</v>
      </c>
      <c r="E17" s="51">
        <f>(N8)*1+P10*1</f>
        <v>128</v>
      </c>
      <c r="F17" s="377"/>
      <c r="G17" s="52">
        <f t="shared" si="0"/>
        <v>0</v>
      </c>
      <c r="H17" s="7"/>
      <c r="I17" s="48">
        <v>1401.84</v>
      </c>
      <c r="J17" s="48">
        <v>598.19</v>
      </c>
      <c r="K17" s="48"/>
      <c r="L17" s="75"/>
      <c r="M17" s="34"/>
      <c r="N17" s="34"/>
    </row>
    <row r="18" spans="1:14" ht="16.5">
      <c r="A18" s="48">
        <v>6</v>
      </c>
      <c r="B18" s="357"/>
      <c r="C18" s="53" t="s">
        <v>40</v>
      </c>
      <c r="D18" s="48" t="s">
        <v>386</v>
      </c>
      <c r="E18" s="51">
        <f>(N8)*2+P10*2</f>
        <v>256</v>
      </c>
      <c r="F18" s="377"/>
      <c r="G18" s="52">
        <f t="shared" si="0"/>
        <v>0</v>
      </c>
      <c r="H18" s="7"/>
      <c r="I18" s="48">
        <v>265.5</v>
      </c>
      <c r="J18" s="48">
        <v>100.82</v>
      </c>
      <c r="K18" s="48"/>
      <c r="L18" s="75"/>
      <c r="M18" s="34"/>
      <c r="N18" s="34"/>
    </row>
    <row r="19" spans="1:14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493.17999999999995</v>
      </c>
      <c r="F19" s="377"/>
      <c r="G19" s="52">
        <f t="shared" si="0"/>
        <v>0</v>
      </c>
      <c r="H19" s="7"/>
      <c r="I19" s="48"/>
      <c r="J19" s="48">
        <v>1327.7</v>
      </c>
      <c r="K19" s="48"/>
      <c r="L19" s="75"/>
      <c r="M19" s="34"/>
      <c r="N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>
        <v>210.38</v>
      </c>
      <c r="K20" s="48"/>
      <c r="L20" s="75"/>
      <c r="M20" s="34"/>
    </row>
    <row r="21" spans="1:13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3410.2039999999993</v>
      </c>
      <c r="F21" s="377"/>
      <c r="G21" s="52">
        <f>E21*F21</f>
        <v>0</v>
      </c>
      <c r="H21" s="7"/>
      <c r="I21" s="48"/>
      <c r="J21" s="48">
        <v>296.6</v>
      </c>
      <c r="K21" s="48"/>
      <c r="L21" s="75"/>
      <c r="M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243.58599999999998</v>
      </c>
      <c r="F22" s="377"/>
      <c r="G22" s="52">
        <f>E22*F22</f>
        <v>0</v>
      </c>
      <c r="H22" s="7"/>
      <c r="I22" s="34">
        <f>SUM(I9:I21)</f>
        <v>4871.719999999999</v>
      </c>
      <c r="J22" s="34">
        <f>SUM(J9:J21)</f>
        <v>5664.9400000000005</v>
      </c>
      <c r="K22" s="34">
        <f>SUM(K9:K21)</f>
        <v>900.26</v>
      </c>
      <c r="L22" s="48">
        <f>SUM(I22:K22)</f>
        <v>11436.92</v>
      </c>
    </row>
    <row r="23" spans="1:12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1217.9299999999998</v>
      </c>
      <c r="F23" s="377"/>
      <c r="G23" s="52">
        <f>E23*F23</f>
        <v>0</v>
      </c>
      <c r="H23" s="7"/>
      <c r="I23" s="34"/>
      <c r="J23" s="34"/>
      <c r="K23" s="34"/>
      <c r="L23" s="34"/>
    </row>
    <row r="24" spans="1:12" ht="15" customHeight="1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34"/>
      <c r="J24" s="34"/>
      <c r="K24" s="34"/>
      <c r="L24" s="34"/>
    </row>
    <row r="25" spans="1:12" ht="16.5">
      <c r="A25" s="497">
        <f>A24+1</f>
        <v>10</v>
      </c>
      <c r="B25" s="357"/>
      <c r="C25" s="49" t="s">
        <v>264</v>
      </c>
      <c r="D25" s="50" t="s">
        <v>385</v>
      </c>
      <c r="E25" s="51">
        <f>0.7*J22</f>
        <v>3965.458</v>
      </c>
      <c r="F25" s="377"/>
      <c r="G25" s="52">
        <f>E25*F25</f>
        <v>0</v>
      </c>
      <c r="H25" s="7"/>
      <c r="J25" s="48" t="s">
        <v>315</v>
      </c>
      <c r="K25" s="34"/>
      <c r="L25" s="34"/>
    </row>
    <row r="26" spans="1:12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0.05*J22</f>
        <v>283.247</v>
      </c>
      <c r="F26" s="377"/>
      <c r="G26" s="52">
        <f>E26*F26</f>
        <v>0</v>
      </c>
      <c r="H26" s="7"/>
      <c r="J26" s="48">
        <v>296.6</v>
      </c>
      <c r="K26" s="34"/>
      <c r="L26" s="34"/>
    </row>
    <row r="27" spans="1:12" ht="15" customHeight="1">
      <c r="A27" s="498">
        <f>A26+1</f>
        <v>12</v>
      </c>
      <c r="B27" s="357"/>
      <c r="C27" s="49" t="s">
        <v>265</v>
      </c>
      <c r="D27" s="50" t="s">
        <v>385</v>
      </c>
      <c r="E27" s="51">
        <f>0.25*J22</f>
        <v>1416.2350000000001</v>
      </c>
      <c r="F27" s="377"/>
      <c r="G27" s="52">
        <f>E27*F27</f>
        <v>0</v>
      </c>
      <c r="H27" s="7"/>
      <c r="I27" s="34"/>
      <c r="J27" s="48"/>
      <c r="K27" s="34"/>
      <c r="L27" s="34"/>
    </row>
    <row r="28" spans="1:12" ht="15" customHeight="1">
      <c r="A28" s="496">
        <v>10</v>
      </c>
      <c r="B28" s="48"/>
      <c r="C28" s="53" t="s">
        <v>306</v>
      </c>
      <c r="D28" s="48"/>
      <c r="E28" s="48"/>
      <c r="F28" s="52"/>
      <c r="G28" s="52"/>
      <c r="H28" s="7"/>
      <c r="I28" s="34"/>
      <c r="J28" s="34">
        <f>SUM(J26:J27)</f>
        <v>296.6</v>
      </c>
      <c r="K28" s="34"/>
      <c r="L28" s="34"/>
    </row>
    <row r="29" spans="1:12" ht="16.5">
      <c r="A29" s="497">
        <f>A28+1</f>
        <v>11</v>
      </c>
      <c r="B29" s="357"/>
      <c r="C29" s="49" t="s">
        <v>264</v>
      </c>
      <c r="D29" s="50" t="s">
        <v>385</v>
      </c>
      <c r="E29" s="51">
        <f>0.7*K22</f>
        <v>630.1819999999999</v>
      </c>
      <c r="F29" s="377"/>
      <c r="G29" s="52">
        <f>E29*F29</f>
        <v>0</v>
      </c>
      <c r="H29" s="7"/>
      <c r="I29" s="34"/>
      <c r="J29" s="34"/>
      <c r="K29" s="34"/>
      <c r="L29" s="34"/>
    </row>
    <row r="30" spans="1:12" ht="16.5">
      <c r="A30" s="497">
        <f>A29+1</f>
        <v>12</v>
      </c>
      <c r="B30" s="357"/>
      <c r="C30" s="53" t="s">
        <v>263</v>
      </c>
      <c r="D30" s="50" t="s">
        <v>385</v>
      </c>
      <c r="E30" s="51">
        <f>0.05*K22</f>
        <v>45.013000000000005</v>
      </c>
      <c r="F30" s="377"/>
      <c r="G30" s="52">
        <f>E30*F30</f>
        <v>0</v>
      </c>
      <c r="H30" s="7"/>
      <c r="I30" s="34"/>
      <c r="J30" s="34"/>
      <c r="K30" s="34"/>
      <c r="L30" s="34"/>
    </row>
    <row r="31" spans="1:12" ht="15" customHeight="1">
      <c r="A31" s="498">
        <f>A30+1</f>
        <v>13</v>
      </c>
      <c r="B31" s="357"/>
      <c r="C31" s="49" t="s">
        <v>265</v>
      </c>
      <c r="D31" s="50" t="s">
        <v>385</v>
      </c>
      <c r="E31" s="51">
        <f>0.25*K22</f>
        <v>225.065</v>
      </c>
      <c r="F31" s="377"/>
      <c r="G31" s="52">
        <f>E31*F31</f>
        <v>0</v>
      </c>
      <c r="H31" s="7"/>
      <c r="I31" s="34"/>
      <c r="J31" s="34"/>
      <c r="K31" s="34"/>
      <c r="L31" s="34"/>
    </row>
    <row r="32" spans="1:12" ht="15" customHeight="1">
      <c r="A32" s="496">
        <v>11</v>
      </c>
      <c r="B32" s="48"/>
      <c r="C32" s="53" t="s">
        <v>244</v>
      </c>
      <c r="D32" s="96"/>
      <c r="E32" s="96"/>
      <c r="F32" s="52"/>
      <c r="G32" s="97"/>
      <c r="H32" s="7"/>
      <c r="I32" s="34"/>
      <c r="J32" s="34"/>
      <c r="K32" s="34"/>
      <c r="L32" s="34"/>
    </row>
    <row r="33" spans="1:12" ht="16.5">
      <c r="A33" s="497"/>
      <c r="B33" s="357"/>
      <c r="C33" s="49" t="s">
        <v>199</v>
      </c>
      <c r="D33" s="50" t="s">
        <v>385</v>
      </c>
      <c r="E33" s="51">
        <f>0.6*N13</f>
        <v>1290.24</v>
      </c>
      <c r="F33" s="377"/>
      <c r="G33" s="52">
        <f aca="true" t="shared" si="1" ref="G33:G57">E33*F33</f>
        <v>0</v>
      </c>
      <c r="H33" s="7"/>
      <c r="I33" s="34"/>
      <c r="J33" s="34"/>
      <c r="K33" s="34"/>
      <c r="L33" s="34"/>
    </row>
    <row r="34" spans="1:12" ht="16.5">
      <c r="A34" s="497"/>
      <c r="B34" s="357"/>
      <c r="C34" s="53" t="s">
        <v>266</v>
      </c>
      <c r="D34" s="50" t="s">
        <v>385</v>
      </c>
      <c r="E34" s="51">
        <f>0.05*N13</f>
        <v>107.52000000000001</v>
      </c>
      <c r="F34" s="377"/>
      <c r="G34" s="52">
        <f t="shared" si="1"/>
        <v>0</v>
      </c>
      <c r="H34" s="7"/>
      <c r="I34" s="34"/>
      <c r="J34" s="34"/>
      <c r="K34" s="34"/>
      <c r="L34" s="34"/>
    </row>
    <row r="35" spans="1:12" ht="16.5">
      <c r="A35" s="498"/>
      <c r="B35" s="357"/>
      <c r="C35" s="49" t="s">
        <v>267</v>
      </c>
      <c r="D35" s="50" t="s">
        <v>385</v>
      </c>
      <c r="E35" s="51">
        <f>0.35*N13</f>
        <v>752.64</v>
      </c>
      <c r="F35" s="377"/>
      <c r="G35" s="52">
        <f t="shared" si="1"/>
        <v>0</v>
      </c>
      <c r="H35" s="7"/>
      <c r="I35" s="34"/>
      <c r="J35" s="34"/>
      <c r="K35" s="34"/>
      <c r="L35" s="34"/>
    </row>
    <row r="36" spans="1:12" ht="28.5">
      <c r="A36" s="48">
        <v>12</v>
      </c>
      <c r="B36" s="357"/>
      <c r="C36" s="80" t="s">
        <v>196</v>
      </c>
      <c r="D36" s="50" t="s">
        <v>385</v>
      </c>
      <c r="E36" s="51">
        <f>E23+E27+E31+E35</f>
        <v>3611.87</v>
      </c>
      <c r="F36" s="377"/>
      <c r="G36" s="52">
        <f t="shared" si="1"/>
        <v>0</v>
      </c>
      <c r="H36" s="7"/>
      <c r="I36" s="34"/>
      <c r="J36" s="34"/>
      <c r="K36" s="34"/>
      <c r="L36" s="34"/>
    </row>
    <row r="37" spans="1:16" s="30" customFormat="1" ht="16.5">
      <c r="A37" s="48">
        <v>13</v>
      </c>
      <c r="B37" s="357"/>
      <c r="C37" s="55" t="s">
        <v>197</v>
      </c>
      <c r="D37" s="50" t="s">
        <v>385</v>
      </c>
      <c r="E37" s="81">
        <f>E36</f>
        <v>3611.87</v>
      </c>
      <c r="F37" s="377"/>
      <c r="G37" s="52">
        <f t="shared" si="1"/>
        <v>0</v>
      </c>
      <c r="H37" s="7"/>
      <c r="I37" s="34"/>
      <c r="J37" s="34"/>
      <c r="K37" s="34"/>
      <c r="L37" s="34"/>
      <c r="M37" s="29"/>
      <c r="O37" s="29"/>
      <c r="P37" s="29"/>
    </row>
    <row r="38" spans="1:8" ht="16.5">
      <c r="A38" s="48">
        <v>14</v>
      </c>
      <c r="B38" s="357"/>
      <c r="C38" s="80" t="s">
        <v>72</v>
      </c>
      <c r="D38" s="50" t="s">
        <v>385</v>
      </c>
      <c r="E38" s="51">
        <f>L22+J28+N13</f>
        <v>13883.92</v>
      </c>
      <c r="F38" s="377"/>
      <c r="G38" s="52">
        <f t="shared" si="1"/>
        <v>0</v>
      </c>
      <c r="H38" s="7"/>
    </row>
    <row r="39" spans="1:14" ht="16.5">
      <c r="A39" s="48">
        <v>15</v>
      </c>
      <c r="B39" s="357"/>
      <c r="C39" s="49" t="s">
        <v>387</v>
      </c>
      <c r="D39" s="48" t="s">
        <v>386</v>
      </c>
      <c r="E39" s="48">
        <f>N11*4</f>
        <v>8016</v>
      </c>
      <c r="F39" s="377"/>
      <c r="G39" s="52">
        <f t="shared" si="1"/>
        <v>0</v>
      </c>
      <c r="H39" s="7"/>
      <c r="N39" s="34"/>
    </row>
    <row r="40" spans="1:14" ht="28.5">
      <c r="A40" s="48">
        <v>16</v>
      </c>
      <c r="B40" s="357"/>
      <c r="C40" s="80" t="s">
        <v>84</v>
      </c>
      <c r="D40" s="50" t="s">
        <v>385</v>
      </c>
      <c r="E40" s="51">
        <f>0.1*1.2*E42+0.1*1.3*E43+0.1*1.4*E44+0.1*1.5*E45+0.1*1.6*E46+0.1*2*E47</f>
        <v>293.9</v>
      </c>
      <c r="F40" s="377"/>
      <c r="G40" s="52">
        <f t="shared" si="1"/>
        <v>0</v>
      </c>
      <c r="H40" s="7"/>
      <c r="N40" s="34"/>
    </row>
    <row r="41" spans="1:14" ht="42.75">
      <c r="A41" s="48">
        <v>17</v>
      </c>
      <c r="B41" s="357"/>
      <c r="C41" s="53" t="s">
        <v>43</v>
      </c>
      <c r="D41" s="48" t="s">
        <v>385</v>
      </c>
      <c r="E41" s="51">
        <f>E38-E40-E65-E67-E50-E51-65.44-90.08-116.71-30.38-54.76-332.06-29.8</f>
        <v>10908.790000000003</v>
      </c>
      <c r="F41" s="377"/>
      <c r="G41" s="52">
        <f t="shared" si="1"/>
        <v>0</v>
      </c>
      <c r="H41" s="7"/>
      <c r="N41" s="34"/>
    </row>
    <row r="42" spans="1:14" ht="14.25">
      <c r="A42" s="48">
        <v>18</v>
      </c>
      <c r="B42" s="357"/>
      <c r="C42" s="53" t="s">
        <v>271</v>
      </c>
      <c r="D42" s="48" t="s">
        <v>190</v>
      </c>
      <c r="E42" s="48">
        <v>521</v>
      </c>
      <c r="F42" s="377"/>
      <c r="G42" s="52">
        <f t="shared" si="1"/>
        <v>0</v>
      </c>
      <c r="H42" s="4"/>
      <c r="N42" s="34"/>
    </row>
    <row r="43" spans="1:14" ht="14.25">
      <c r="A43" s="48">
        <v>19</v>
      </c>
      <c r="B43" s="357"/>
      <c r="C43" s="53" t="s">
        <v>272</v>
      </c>
      <c r="D43" s="48" t="s">
        <v>190</v>
      </c>
      <c r="E43" s="48">
        <v>459</v>
      </c>
      <c r="F43" s="377"/>
      <c r="G43" s="52">
        <f t="shared" si="1"/>
        <v>0</v>
      </c>
      <c r="H43" s="7"/>
      <c r="N43" s="34"/>
    </row>
    <row r="44" spans="1:7" ht="15" customHeight="1">
      <c r="A44" s="48">
        <v>20</v>
      </c>
      <c r="B44" s="357"/>
      <c r="C44" s="53" t="s">
        <v>273</v>
      </c>
      <c r="D44" s="48" t="s">
        <v>190</v>
      </c>
      <c r="E44" s="48">
        <v>413</v>
      </c>
      <c r="F44" s="377"/>
      <c r="G44" s="52">
        <f t="shared" si="1"/>
        <v>0</v>
      </c>
    </row>
    <row r="45" spans="1:8" ht="14.25">
      <c r="A45" s="48">
        <v>21</v>
      </c>
      <c r="B45" s="357"/>
      <c r="C45" s="53" t="s">
        <v>25</v>
      </c>
      <c r="D45" s="48" t="s">
        <v>190</v>
      </c>
      <c r="E45" s="48">
        <v>79</v>
      </c>
      <c r="F45" s="377"/>
      <c r="G45" s="52">
        <f t="shared" si="1"/>
        <v>0</v>
      </c>
      <c r="H45" s="7"/>
    </row>
    <row r="46" spans="1:14" ht="14.25">
      <c r="A46" s="48">
        <v>22</v>
      </c>
      <c r="B46" s="357"/>
      <c r="C46" s="53" t="s">
        <v>307</v>
      </c>
      <c r="D46" s="48" t="s">
        <v>190</v>
      </c>
      <c r="E46" s="48">
        <v>109</v>
      </c>
      <c r="F46" s="377"/>
      <c r="G46" s="52">
        <f t="shared" si="1"/>
        <v>0</v>
      </c>
      <c r="H46" s="7"/>
      <c r="N46" s="34"/>
    </row>
    <row r="47" spans="1:14" ht="15" customHeight="1">
      <c r="A47" s="48">
        <v>23</v>
      </c>
      <c r="B47" s="357"/>
      <c r="C47" s="53" t="s">
        <v>308</v>
      </c>
      <c r="D47" s="48" t="s">
        <v>190</v>
      </c>
      <c r="E47" s="48">
        <v>423</v>
      </c>
      <c r="F47" s="377"/>
      <c r="G47" s="52">
        <f t="shared" si="1"/>
        <v>0</v>
      </c>
      <c r="N47" s="34"/>
    </row>
    <row r="48" spans="1:8" ht="28.5">
      <c r="A48" s="48">
        <v>24</v>
      </c>
      <c r="B48" s="357"/>
      <c r="C48" s="53" t="s">
        <v>392</v>
      </c>
      <c r="D48" s="48" t="s">
        <v>190</v>
      </c>
      <c r="E48" s="48">
        <v>1483</v>
      </c>
      <c r="F48" s="377"/>
      <c r="G48" s="52">
        <f t="shared" si="1"/>
        <v>0</v>
      </c>
      <c r="H48" s="7"/>
    </row>
    <row r="49" spans="1:14" ht="16.5">
      <c r="A49" s="48">
        <v>25</v>
      </c>
      <c r="B49" s="357"/>
      <c r="C49" s="53" t="s">
        <v>316</v>
      </c>
      <c r="D49" s="48" t="s">
        <v>386</v>
      </c>
      <c r="E49" s="51">
        <f>1.3*E48</f>
        <v>1927.9</v>
      </c>
      <c r="F49" s="377"/>
      <c r="G49" s="52">
        <f t="shared" si="1"/>
        <v>0</v>
      </c>
      <c r="H49" s="7"/>
      <c r="I49" s="34"/>
      <c r="J49" s="34"/>
      <c r="N49" s="34"/>
    </row>
    <row r="50" spans="1:14" ht="28.5">
      <c r="A50" s="48">
        <v>26</v>
      </c>
      <c r="B50" s="357"/>
      <c r="C50" s="80" t="s">
        <v>318</v>
      </c>
      <c r="D50" s="50" t="s">
        <v>385</v>
      </c>
      <c r="E50" s="51">
        <f>J26-E51-65.48</f>
        <v>156.97000000000003</v>
      </c>
      <c r="F50" s="377"/>
      <c r="G50" s="52">
        <f t="shared" si="1"/>
        <v>0</v>
      </c>
      <c r="H50" s="7"/>
      <c r="I50" s="30"/>
      <c r="J50" s="30"/>
      <c r="K50" s="30"/>
      <c r="L50" s="30"/>
      <c r="N50" s="34"/>
    </row>
    <row r="51" spans="1:14" ht="16.5">
      <c r="A51" s="48">
        <v>27</v>
      </c>
      <c r="B51" s="357"/>
      <c r="C51" s="80" t="s">
        <v>317</v>
      </c>
      <c r="D51" s="50" t="s">
        <v>385</v>
      </c>
      <c r="E51" s="51">
        <f>0.1*0.5*E48</f>
        <v>74.15</v>
      </c>
      <c r="F51" s="377"/>
      <c r="G51" s="52">
        <f t="shared" si="1"/>
        <v>0</v>
      </c>
      <c r="H51" s="7"/>
      <c r="I51" s="30"/>
      <c r="J51" s="30"/>
      <c r="K51" s="30"/>
      <c r="L51" s="30"/>
      <c r="N51" s="34"/>
    </row>
    <row r="52" spans="1:15" ht="28.5">
      <c r="A52" s="48">
        <v>28</v>
      </c>
      <c r="B52" s="357"/>
      <c r="C52" s="53" t="s">
        <v>309</v>
      </c>
      <c r="D52" s="48" t="s">
        <v>191</v>
      </c>
      <c r="E52" s="48">
        <v>15</v>
      </c>
      <c r="F52" s="377"/>
      <c r="G52" s="52">
        <f t="shared" si="1"/>
        <v>0</v>
      </c>
      <c r="H52" s="7"/>
      <c r="I52" s="30"/>
      <c r="J52" s="30"/>
      <c r="K52" s="30"/>
      <c r="L52" s="30"/>
      <c r="M52" s="30"/>
      <c r="N52" s="30"/>
      <c r="O52" s="34"/>
    </row>
    <row r="53" spans="1:12" ht="28.5">
      <c r="A53" s="48">
        <v>29</v>
      </c>
      <c r="B53" s="357"/>
      <c r="C53" s="53" t="s">
        <v>313</v>
      </c>
      <c r="D53" s="48" t="s">
        <v>191</v>
      </c>
      <c r="E53" s="48">
        <v>13</v>
      </c>
      <c r="F53" s="377"/>
      <c r="G53" s="52">
        <f t="shared" si="1"/>
        <v>0</v>
      </c>
      <c r="H53" s="34"/>
      <c r="I53" s="30"/>
      <c r="J53" s="30"/>
      <c r="K53" s="30"/>
      <c r="L53" s="30"/>
    </row>
    <row r="54" spans="1:16" ht="28.5">
      <c r="A54" s="48">
        <v>30</v>
      </c>
      <c r="B54" s="357"/>
      <c r="C54" s="53" t="s">
        <v>352</v>
      </c>
      <c r="D54" s="48" t="s">
        <v>191</v>
      </c>
      <c r="E54" s="48">
        <v>3</v>
      </c>
      <c r="F54" s="377"/>
      <c r="G54" s="52">
        <f t="shared" si="1"/>
        <v>0</v>
      </c>
      <c r="H54" s="7"/>
      <c r="O54" s="30"/>
      <c r="P54" s="30"/>
    </row>
    <row r="55" spans="1:13" ht="28.5">
      <c r="A55" s="48">
        <v>31</v>
      </c>
      <c r="B55" s="357"/>
      <c r="C55" s="53" t="s">
        <v>310</v>
      </c>
      <c r="D55" s="48" t="s">
        <v>191</v>
      </c>
      <c r="E55" s="48">
        <v>7</v>
      </c>
      <c r="F55" s="377"/>
      <c r="G55" s="52">
        <f t="shared" si="1"/>
        <v>0</v>
      </c>
      <c r="H55" s="7"/>
      <c r="M55" s="34"/>
    </row>
    <row r="56" spans="1:16" ht="28.5">
      <c r="A56" s="48">
        <v>32</v>
      </c>
      <c r="B56" s="357"/>
      <c r="C56" s="53" t="s">
        <v>27</v>
      </c>
      <c r="D56" s="48" t="s">
        <v>191</v>
      </c>
      <c r="E56" s="48">
        <v>1</v>
      </c>
      <c r="F56" s="377"/>
      <c r="G56" s="52">
        <f>E56*F56</f>
        <v>0</v>
      </c>
      <c r="H56" s="4"/>
      <c r="O56" s="30"/>
      <c r="P56" s="30"/>
    </row>
    <row r="57" spans="1:8" ht="14.25">
      <c r="A57" s="48">
        <v>33</v>
      </c>
      <c r="B57" s="357"/>
      <c r="C57" s="53" t="s">
        <v>200</v>
      </c>
      <c r="D57" s="48" t="s">
        <v>191</v>
      </c>
      <c r="E57" s="48">
        <f>N8</f>
        <v>128</v>
      </c>
      <c r="F57" s="377"/>
      <c r="G57" s="52">
        <f t="shared" si="1"/>
        <v>0</v>
      </c>
      <c r="H57" s="7"/>
    </row>
    <row r="58" spans="1:8" ht="30" customHeight="1">
      <c r="A58" s="48">
        <v>34</v>
      </c>
      <c r="B58" s="357"/>
      <c r="C58" s="53" t="s">
        <v>233</v>
      </c>
      <c r="D58" s="48" t="s">
        <v>191</v>
      </c>
      <c r="E58" s="51">
        <v>50</v>
      </c>
      <c r="F58" s="377"/>
      <c r="G58" s="52">
        <f aca="true" t="shared" si="2" ref="G58:G68">E58*F58</f>
        <v>0</v>
      </c>
      <c r="H58" s="7"/>
    </row>
    <row r="59" spans="1:16" s="30" customFormat="1" ht="14.25">
      <c r="A59" s="48">
        <v>35</v>
      </c>
      <c r="B59" s="357"/>
      <c r="C59" s="49" t="s">
        <v>192</v>
      </c>
      <c r="D59" s="48" t="s">
        <v>193</v>
      </c>
      <c r="E59" s="51">
        <f>40*N11/2000</f>
        <v>40.08</v>
      </c>
      <c r="F59" s="377"/>
      <c r="G59" s="52">
        <f t="shared" si="2"/>
        <v>0</v>
      </c>
      <c r="H59" s="7"/>
      <c r="I59" s="29"/>
      <c r="J59" s="29"/>
      <c r="K59" s="29"/>
      <c r="L59" s="29"/>
      <c r="M59" s="29"/>
      <c r="N59" s="29"/>
      <c r="O59" s="29"/>
      <c r="P59" s="29"/>
    </row>
    <row r="60" spans="1:16" s="30" customFormat="1" ht="14.25">
      <c r="A60" s="48">
        <v>36</v>
      </c>
      <c r="B60" s="357"/>
      <c r="C60" s="95" t="s">
        <v>282</v>
      </c>
      <c r="D60" s="48" t="s">
        <v>190</v>
      </c>
      <c r="E60" s="51">
        <f>E17</f>
        <v>128</v>
      </c>
      <c r="F60" s="377"/>
      <c r="G60" s="52">
        <f t="shared" si="2"/>
        <v>0</v>
      </c>
      <c r="H60" s="7"/>
      <c r="I60" s="29"/>
      <c r="J60" s="29"/>
      <c r="K60" s="29"/>
      <c r="L60" s="29"/>
      <c r="M60" s="29"/>
      <c r="N60" s="29"/>
      <c r="O60" s="3"/>
      <c r="P60" s="6"/>
    </row>
    <row r="61" spans="1:16" s="2" customFormat="1" ht="16.5">
      <c r="A61" s="48">
        <v>37</v>
      </c>
      <c r="B61" s="357"/>
      <c r="C61" s="95" t="s">
        <v>283</v>
      </c>
      <c r="D61" s="48" t="s">
        <v>386</v>
      </c>
      <c r="E61" s="51">
        <f>E18</f>
        <v>256</v>
      </c>
      <c r="F61" s="377"/>
      <c r="G61" s="52">
        <f t="shared" si="2"/>
        <v>0</v>
      </c>
      <c r="H61" s="7"/>
      <c r="I61" s="29"/>
      <c r="J61" s="29"/>
      <c r="K61" s="29"/>
      <c r="L61" s="29"/>
      <c r="M61" s="29"/>
      <c r="N61" s="29"/>
      <c r="O61" s="3"/>
      <c r="P61" s="6"/>
    </row>
    <row r="62" spans="1:16" s="2" customFormat="1" ht="28.5">
      <c r="A62" s="48">
        <v>38</v>
      </c>
      <c r="B62" s="357"/>
      <c r="C62" s="77" t="s">
        <v>293</v>
      </c>
      <c r="D62" s="48" t="s">
        <v>195</v>
      </c>
      <c r="E62" s="51">
        <f>(E15+E16)*96/1000</f>
        <v>448.87679999999995</v>
      </c>
      <c r="F62" s="377"/>
      <c r="G62" s="52">
        <f t="shared" si="2"/>
        <v>0</v>
      </c>
      <c r="H62" s="7"/>
      <c r="I62" s="29"/>
      <c r="J62" s="29"/>
      <c r="K62" s="29"/>
      <c r="L62" s="29"/>
      <c r="M62" s="29"/>
      <c r="N62" s="30"/>
      <c r="O62" s="29"/>
      <c r="P62" s="29"/>
    </row>
    <row r="63" spans="1:16" ht="28.5">
      <c r="A63" s="48">
        <v>39</v>
      </c>
      <c r="B63" s="357"/>
      <c r="C63" s="77" t="s">
        <v>294</v>
      </c>
      <c r="D63" s="48" t="s">
        <v>195</v>
      </c>
      <c r="E63" s="51">
        <v>227.19</v>
      </c>
      <c r="F63" s="377"/>
      <c r="G63" s="52">
        <f t="shared" si="2"/>
        <v>0</v>
      </c>
      <c r="H63" s="7"/>
      <c r="N63" s="3"/>
      <c r="O63" s="30"/>
      <c r="P63" s="30"/>
    </row>
    <row r="64" spans="1:16" s="2" customFormat="1" ht="28.5">
      <c r="A64" s="48">
        <v>40</v>
      </c>
      <c r="B64" s="357"/>
      <c r="C64" s="53" t="s">
        <v>30</v>
      </c>
      <c r="D64" s="83" t="s">
        <v>195</v>
      </c>
      <c r="E64" s="51">
        <v>681.58</v>
      </c>
      <c r="F64" s="377"/>
      <c r="G64" s="52">
        <f t="shared" si="2"/>
        <v>0</v>
      </c>
      <c r="H64" s="7"/>
      <c r="I64" s="29"/>
      <c r="J64" s="29"/>
      <c r="K64" s="29"/>
      <c r="L64" s="29"/>
      <c r="M64" s="29"/>
      <c r="N64" s="3"/>
      <c r="O64" s="29"/>
      <c r="P64" s="29"/>
    </row>
    <row r="65" spans="1:16" s="2" customFormat="1" ht="28.5">
      <c r="A65" s="48">
        <v>41</v>
      </c>
      <c r="B65" s="357"/>
      <c r="C65" s="53" t="s">
        <v>31</v>
      </c>
      <c r="D65" s="83" t="s">
        <v>385</v>
      </c>
      <c r="E65" s="85">
        <v>866.62</v>
      </c>
      <c r="F65" s="377"/>
      <c r="G65" s="52">
        <f t="shared" si="2"/>
        <v>0</v>
      </c>
      <c r="H65" s="7"/>
      <c r="I65" s="29"/>
      <c r="J65" s="29"/>
      <c r="K65" s="29"/>
      <c r="L65" s="29"/>
      <c r="M65" s="29"/>
      <c r="N65" s="29"/>
      <c r="O65" s="29"/>
      <c r="P65" s="29"/>
    </row>
    <row r="66" spans="1:8" ht="28.5">
      <c r="A66" s="48">
        <v>42</v>
      </c>
      <c r="B66" s="357"/>
      <c r="C66" s="53" t="s">
        <v>295</v>
      </c>
      <c r="D66" s="83" t="s">
        <v>195</v>
      </c>
      <c r="E66" s="51">
        <v>293.07</v>
      </c>
      <c r="F66" s="377"/>
      <c r="G66" s="52">
        <f t="shared" si="2"/>
        <v>0</v>
      </c>
      <c r="H66" s="7"/>
    </row>
    <row r="67" spans="1:8" ht="28.5">
      <c r="A67" s="48">
        <v>43</v>
      </c>
      <c r="B67" s="357"/>
      <c r="C67" s="53" t="s">
        <v>21</v>
      </c>
      <c r="D67" s="83" t="s">
        <v>385</v>
      </c>
      <c r="E67" s="85">
        <v>864.26</v>
      </c>
      <c r="F67" s="377"/>
      <c r="G67" s="52">
        <f t="shared" si="2"/>
        <v>0</v>
      </c>
      <c r="H67" s="7"/>
    </row>
    <row r="68" spans="1:8" ht="14.25">
      <c r="A68" s="48">
        <v>44</v>
      </c>
      <c r="B68" s="357"/>
      <c r="C68" s="77" t="s">
        <v>194</v>
      </c>
      <c r="D68" s="74" t="s">
        <v>190</v>
      </c>
      <c r="E68" s="85">
        <f>E13+E14</f>
        <v>5288</v>
      </c>
      <c r="F68" s="377"/>
      <c r="G68" s="52">
        <f t="shared" si="2"/>
        <v>0</v>
      </c>
      <c r="H68" s="7"/>
    </row>
    <row r="69" spans="1:8" ht="14.25">
      <c r="A69" s="48">
        <v>45</v>
      </c>
      <c r="B69" s="357"/>
      <c r="C69" s="55" t="s">
        <v>201</v>
      </c>
      <c r="D69" s="50" t="s">
        <v>190</v>
      </c>
      <c r="E69" s="50">
        <f>N11</f>
        <v>2004</v>
      </c>
      <c r="F69" s="377"/>
      <c r="G69" s="52">
        <f>E69*F69</f>
        <v>0</v>
      </c>
      <c r="H69" s="7"/>
    </row>
    <row r="70" spans="5:7" ht="15">
      <c r="E70" s="57"/>
      <c r="F70" s="58" t="s">
        <v>364</v>
      </c>
      <c r="G70" s="59">
        <f>SUM(G13:G69)</f>
        <v>0</v>
      </c>
    </row>
    <row r="71" spans="5:7" ht="15">
      <c r="E71" s="484" t="s">
        <v>206</v>
      </c>
      <c r="F71" s="484"/>
      <c r="G71" s="59">
        <f>G70*0.2</f>
        <v>0</v>
      </c>
    </row>
    <row r="72" spans="3:7" ht="15">
      <c r="C72" s="26"/>
      <c r="E72" s="57"/>
      <c r="F72" s="60" t="s">
        <v>365</v>
      </c>
      <c r="G72" s="59">
        <f>SUM(G70:G71)</f>
        <v>0</v>
      </c>
    </row>
    <row r="73" spans="3:5" ht="14.25">
      <c r="C73" s="61"/>
      <c r="D73" s="62"/>
      <c r="E73" s="62"/>
    </row>
    <row r="74" spans="2:16" ht="18.75">
      <c r="B74" s="63" t="s">
        <v>370</v>
      </c>
      <c r="C74" s="64" t="s">
        <v>371</v>
      </c>
      <c r="D74" s="62"/>
      <c r="E74" s="62"/>
      <c r="H74" s="28"/>
      <c r="I74" s="28"/>
      <c r="J74" s="28"/>
      <c r="K74" s="28"/>
      <c r="L74" s="28"/>
      <c r="M74" s="28"/>
      <c r="N74" s="28"/>
      <c r="O74" s="28"/>
      <c r="P74" s="28"/>
    </row>
    <row r="75" spans="8:16" ht="14.2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 customHeight="1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4.25">
      <c r="H77" s="28"/>
      <c r="I77" s="28"/>
      <c r="J77" s="28"/>
      <c r="K77" s="28"/>
      <c r="L77" s="28"/>
      <c r="M77" s="28"/>
      <c r="N77" s="28"/>
      <c r="O77" s="28"/>
      <c r="P77" s="28"/>
    </row>
    <row r="78" spans="1:6" s="67" customFormat="1" ht="15">
      <c r="A78" s="65" t="s">
        <v>373</v>
      </c>
      <c r="B78" s="2"/>
      <c r="C78" s="65"/>
      <c r="D78" s="66" t="s">
        <v>374</v>
      </c>
      <c r="E78" s="24"/>
      <c r="F78" s="426"/>
    </row>
    <row r="79" spans="1:6" s="67" customFormat="1" ht="12.75">
      <c r="A79" s="11"/>
      <c r="B79" s="2"/>
      <c r="C79" s="11"/>
      <c r="D79" s="2"/>
      <c r="E79" s="24"/>
      <c r="F79" s="426"/>
    </row>
    <row r="80" spans="1:6" s="67" customFormat="1" ht="14.25">
      <c r="A80" s="11"/>
      <c r="B80" s="2"/>
      <c r="C80" s="68"/>
      <c r="D80" s="69" t="s">
        <v>375</v>
      </c>
      <c r="E80" s="24"/>
      <c r="F80" s="426"/>
    </row>
    <row r="81" spans="1:6" s="67" customFormat="1" ht="12.75">
      <c r="A81" s="11"/>
      <c r="B81" s="2"/>
      <c r="C81" s="11"/>
      <c r="D81" s="2"/>
      <c r="E81" s="70" t="s">
        <v>376</v>
      </c>
      <c r="F81" s="426"/>
    </row>
    <row r="82" spans="1:6" s="67" customFormat="1" ht="14.25">
      <c r="A82" s="11"/>
      <c r="B82" s="2"/>
      <c r="C82" s="68"/>
      <c r="D82" s="69" t="s">
        <v>377</v>
      </c>
      <c r="E82" s="24"/>
      <c r="F82" s="426"/>
    </row>
    <row r="83" spans="1:6" s="67" customFormat="1" ht="12.75">
      <c r="A83" s="11"/>
      <c r="B83" s="2"/>
      <c r="C83" s="11"/>
      <c r="D83" s="71" t="s">
        <v>378</v>
      </c>
      <c r="E83" s="24"/>
      <c r="F83" s="426"/>
    </row>
  </sheetData>
  <sheetProtection sheet="1" formatCells="0" formatColumns="0" formatRows="0" insertColumns="0" insertRows="0" insertHyperlinks="0" deleteColumns="0" deleteRows="0"/>
  <protectedRanges>
    <protectedRange password="CF7A" sqref="A74:E83" name="Range1"/>
    <protectedRange password="CF7A" sqref="A9:A12 C9:E12 B9:B10 B12" name="Range1_2"/>
    <protectedRange password="CF7A" sqref="F71 E70:E72" name="Range1_1"/>
    <protectedRange password="CF7A" sqref="A6:E7" name="Range1_3"/>
  </protectedRanges>
  <mergeCells count="21">
    <mergeCell ref="F6:F7"/>
    <mergeCell ref="F10:F11"/>
    <mergeCell ref="A9:E9"/>
    <mergeCell ref="D10:D11"/>
    <mergeCell ref="C1:G1"/>
    <mergeCell ref="C3:G3"/>
    <mergeCell ref="A4:B4"/>
    <mergeCell ref="C4:G4"/>
    <mergeCell ref="C5:G5"/>
    <mergeCell ref="A10:A11"/>
    <mergeCell ref="B10:B11"/>
    <mergeCell ref="C10:C11"/>
    <mergeCell ref="A6:E7"/>
    <mergeCell ref="A8:G8"/>
    <mergeCell ref="E71:F71"/>
    <mergeCell ref="A32:A35"/>
    <mergeCell ref="A24:A27"/>
    <mergeCell ref="A28:A31"/>
    <mergeCell ref="A20:A23"/>
    <mergeCell ref="G10:G11"/>
    <mergeCell ref="E10:E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28125" style="320" customWidth="1"/>
    <col min="3" max="3" width="60.421875" style="29" customWidth="1"/>
    <col min="4" max="4" width="9.140625" style="29" customWidth="1"/>
    <col min="5" max="5" width="10.421875" style="29" customWidth="1"/>
    <col min="6" max="6" width="10.8515625" style="29" customWidth="1"/>
    <col min="7" max="7" width="16.8515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597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27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21.7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2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177.87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51.98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503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77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54">
        <v>1</v>
      </c>
      <c r="B13" s="427"/>
      <c r="C13" s="103" t="s">
        <v>258</v>
      </c>
      <c r="D13" s="54" t="s">
        <v>190</v>
      </c>
      <c r="E13" s="100">
        <f>M11*2</f>
        <v>154</v>
      </c>
      <c r="F13" s="390"/>
      <c r="G13" s="104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28.799999999999997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M8*3.5*2</f>
        <v>14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123.2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M8*M9*3.5</f>
        <v>8.4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2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4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13.56</v>
      </c>
      <c r="F19" s="377"/>
      <c r="G19" s="52">
        <f t="shared" si="0"/>
        <v>0</v>
      </c>
      <c r="H19" s="7"/>
      <c r="I19" s="76">
        <f>SUM(I9:I18)</f>
        <v>229.85</v>
      </c>
      <c r="J19" s="76">
        <f>SUM(J9:J18)</f>
        <v>0</v>
      </c>
      <c r="K19" s="48">
        <f>SUM(I19:J19)</f>
        <v>229.85</v>
      </c>
      <c r="L19" s="34"/>
      <c r="M19" s="34"/>
    </row>
    <row r="20" spans="1:12" ht="28.5">
      <c r="A20" s="496">
        <v>8</v>
      </c>
      <c r="B20" s="408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160.89499999999998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11.4925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57.4625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08"/>
      <c r="C24" s="44" t="s">
        <v>244</v>
      </c>
      <c r="D24" s="78"/>
      <c r="E24" s="78"/>
      <c r="F24" s="45"/>
      <c r="G24" s="79"/>
      <c r="H24" s="7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17.279999999999998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1.44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10.079999999999998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67.54249999999999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67.54249999999999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258.65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308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0.1*1.1*M11</f>
        <v>8.47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E30-E32-E43-5.44</f>
        <v>192.02999999999997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f>M11</f>
        <v>77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2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2</v>
      </c>
      <c r="F36" s="377"/>
      <c r="G36" s="52">
        <f t="shared" si="1"/>
        <v>0</v>
      </c>
      <c r="H36" s="7"/>
      <c r="M36" s="34"/>
    </row>
    <row r="37" spans="1:13" ht="42.75">
      <c r="A37" s="48">
        <v>19</v>
      </c>
      <c r="B37" s="393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1.54</v>
      </c>
      <c r="F38" s="377"/>
      <c r="G38" s="52">
        <f t="shared" si="1"/>
        <v>0</v>
      </c>
      <c r="H38" s="7"/>
    </row>
    <row r="39" spans="1:15" ht="14.25">
      <c r="A39" s="48">
        <v>21</v>
      </c>
      <c r="B39" s="393"/>
      <c r="C39" s="95" t="s">
        <v>282</v>
      </c>
      <c r="D39" s="48" t="s">
        <v>190</v>
      </c>
      <c r="E39" s="51">
        <f>E17</f>
        <v>2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93"/>
      <c r="C40" s="95" t="s">
        <v>283</v>
      </c>
      <c r="D40" s="48" t="s">
        <v>386</v>
      </c>
      <c r="E40" s="51">
        <f>E18</f>
        <v>4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12.633599999999998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3" ht="28.5">
      <c r="A42" s="48">
        <v>24</v>
      </c>
      <c r="B42" s="393"/>
      <c r="C42" s="53" t="s">
        <v>295</v>
      </c>
      <c r="D42" s="83" t="s">
        <v>195</v>
      </c>
      <c r="E42" s="51">
        <f>(E15+E16)*0.06*2.4</f>
        <v>18.9504</v>
      </c>
      <c r="F42" s="377"/>
      <c r="G42" s="52">
        <f t="shared" si="1"/>
        <v>0</v>
      </c>
      <c r="H42" s="7"/>
      <c r="M42" s="30"/>
    </row>
    <row r="43" spans="1:15" s="2" customFormat="1" ht="28.5">
      <c r="A43" s="48">
        <v>25</v>
      </c>
      <c r="B43" s="393"/>
      <c r="C43" s="53" t="s">
        <v>21</v>
      </c>
      <c r="D43" s="83" t="s">
        <v>385</v>
      </c>
      <c r="E43" s="85">
        <v>52.71</v>
      </c>
      <c r="F43" s="377"/>
      <c r="G43" s="52">
        <f t="shared" si="1"/>
        <v>0</v>
      </c>
      <c r="H43" s="7"/>
      <c r="I43" s="29"/>
      <c r="J43" s="29"/>
      <c r="K43" s="29"/>
      <c r="L43" s="29"/>
      <c r="M43" s="29"/>
      <c r="N43" s="29"/>
      <c r="O43" s="29"/>
    </row>
    <row r="44" spans="1:15" s="2" customFormat="1" ht="14.25">
      <c r="A44" s="48">
        <v>26</v>
      </c>
      <c r="B44" s="393"/>
      <c r="C44" s="77" t="s">
        <v>194</v>
      </c>
      <c r="D44" s="74" t="s">
        <v>190</v>
      </c>
      <c r="E44" s="85">
        <f>E13</f>
        <v>154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29"/>
      <c r="O44" s="29"/>
    </row>
    <row r="45" spans="1:15" s="2" customFormat="1" ht="12.75" customHeight="1">
      <c r="A45" s="48">
        <v>27</v>
      </c>
      <c r="B45" s="393"/>
      <c r="C45" s="55" t="s">
        <v>201</v>
      </c>
      <c r="D45" s="50" t="s">
        <v>190</v>
      </c>
      <c r="E45" s="50">
        <f>M11</f>
        <v>77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5:7" ht="15">
      <c r="E46" s="57"/>
      <c r="F46" s="58" t="s">
        <v>364</v>
      </c>
      <c r="G46" s="59">
        <f>SUM(G13:G45)</f>
        <v>0</v>
      </c>
    </row>
    <row r="47" spans="5:7" ht="15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425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322"/>
      <c r="C54" s="65"/>
      <c r="D54" s="66" t="s">
        <v>374</v>
      </c>
      <c r="E54" s="24"/>
    </row>
    <row r="55" spans="1:5" s="67" customFormat="1" ht="12.75">
      <c r="A55" s="11"/>
      <c r="B55" s="322"/>
      <c r="C55" s="11"/>
      <c r="D55" s="2"/>
      <c r="E55" s="24"/>
    </row>
    <row r="56" spans="1:5" s="67" customFormat="1" ht="14.25">
      <c r="A56" s="11"/>
      <c r="B56" s="322"/>
      <c r="C56" s="68"/>
      <c r="D56" s="69" t="s">
        <v>375</v>
      </c>
      <c r="E56" s="24"/>
    </row>
    <row r="57" spans="1:5" s="67" customFormat="1" ht="12.75">
      <c r="A57" s="11"/>
      <c r="B57" s="322"/>
      <c r="C57" s="11"/>
      <c r="D57" s="2"/>
      <c r="E57" s="70" t="s">
        <v>376</v>
      </c>
    </row>
    <row r="58" spans="1:5" s="67" customFormat="1" ht="14.25">
      <c r="A58" s="11"/>
      <c r="B58" s="322"/>
      <c r="C58" s="68"/>
      <c r="D58" s="69" t="s">
        <v>377</v>
      </c>
      <c r="E58" s="24"/>
    </row>
    <row r="59" spans="1:5" s="67" customFormat="1" ht="12.75">
      <c r="A59" s="11"/>
      <c r="B59" s="32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/>
  <protectedRanges>
    <protectedRange password="CF7A" sqref="A60:F60" name="Range1"/>
    <protectedRange password="CF7A" sqref="A13:F13" name="Range1_2"/>
    <protectedRange password="CF7A" sqref="A6:E7" name="Range1_3_1"/>
    <protectedRange password="CF7A" sqref="A9:A12 C9:E12 B9:B10 B12" name="Range1_2_1"/>
    <protectedRange password="CF7A" sqref="A50:E59" name="Range1_4"/>
    <protectedRange password="CF7A" sqref="F47 E46:E48" name="Range1_1_1"/>
  </protectedRanges>
  <mergeCells count="19">
    <mergeCell ref="C1:G1"/>
    <mergeCell ref="C3:G3"/>
    <mergeCell ref="A4:B4"/>
    <mergeCell ref="C4:G4"/>
    <mergeCell ref="C5:G5"/>
    <mergeCell ref="E10:E11"/>
    <mergeCell ref="F10:F11"/>
    <mergeCell ref="F6:F7"/>
    <mergeCell ref="A6:E7"/>
    <mergeCell ref="G10:G11"/>
    <mergeCell ref="A8:G8"/>
    <mergeCell ref="A9:E9"/>
    <mergeCell ref="A20:A23"/>
    <mergeCell ref="A24:A27"/>
    <mergeCell ref="E47:F47"/>
    <mergeCell ref="A10:A11"/>
    <mergeCell ref="B10:B11"/>
    <mergeCell ref="C10:C11"/>
    <mergeCell ref="D10:D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8" zoomScaleNormal="98" zoomScalePageLayoutView="0" workbookViewId="0" topLeftCell="A7">
      <selection activeCell="F20" sqref="F20:F22"/>
    </sheetView>
  </sheetViews>
  <sheetFormatPr defaultColWidth="9.140625" defaultRowHeight="12.75"/>
  <cols>
    <col min="1" max="1" width="7.28125" style="29" customWidth="1"/>
    <col min="2" max="2" width="19.00390625" style="29" customWidth="1"/>
    <col min="3" max="3" width="62.57421875" style="29" customWidth="1"/>
    <col min="4" max="4" width="6.8515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8" customWidth="1"/>
    <col min="9" max="12" width="9.140625" style="28" customWidth="1"/>
    <col min="13" max="13" width="11.140625" style="28" bestFit="1" customWidth="1"/>
    <col min="14" max="16" width="9.140625" style="28" customWidth="1"/>
    <col min="17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32.25" customHeight="1">
      <c r="A5" s="441"/>
      <c r="B5" s="442" t="s">
        <v>562</v>
      </c>
      <c r="C5" s="492" t="s">
        <v>565</v>
      </c>
      <c r="D5" s="492"/>
      <c r="E5" s="492"/>
      <c r="F5" s="492"/>
      <c r="G5" s="492"/>
      <c r="H5" s="436"/>
    </row>
    <row r="6" spans="1:11" ht="20.25" customHeight="1">
      <c r="A6" s="486" t="s">
        <v>379</v>
      </c>
      <c r="B6" s="486"/>
      <c r="C6" s="486"/>
      <c r="D6" s="486"/>
      <c r="E6" s="487"/>
      <c r="F6" s="495">
        <v>1</v>
      </c>
      <c r="G6" s="26"/>
      <c r="H6" s="27"/>
      <c r="I6" s="27"/>
      <c r="J6" s="27"/>
      <c r="K6" s="27"/>
    </row>
    <row r="7" spans="1:11" ht="15" customHeight="1">
      <c r="A7" s="486"/>
      <c r="B7" s="486"/>
      <c r="C7" s="486"/>
      <c r="D7" s="486"/>
      <c r="E7" s="487"/>
      <c r="F7" s="495"/>
      <c r="G7" s="30"/>
      <c r="H7" s="31"/>
      <c r="I7" s="31"/>
      <c r="J7" s="31"/>
      <c r="K7" s="31"/>
    </row>
    <row r="8" spans="1:12" ht="15.75" customHeight="1" thickBot="1">
      <c r="A8" s="488"/>
      <c r="B8" s="488"/>
      <c r="C8" s="488"/>
      <c r="D8" s="488"/>
      <c r="E8" s="488"/>
      <c r="F8" s="26"/>
      <c r="G8" s="39" t="s">
        <v>367</v>
      </c>
      <c r="H8" s="27"/>
      <c r="I8" s="18"/>
      <c r="J8" s="18"/>
      <c r="K8" s="18"/>
      <c r="L8" s="105"/>
    </row>
    <row r="9" spans="1:15" ht="15.75" thickBot="1">
      <c r="A9" s="493" t="s">
        <v>372</v>
      </c>
      <c r="B9" s="490" t="s">
        <v>363</v>
      </c>
      <c r="C9" s="490" t="s">
        <v>369</v>
      </c>
      <c r="D9" s="489" t="s">
        <v>189</v>
      </c>
      <c r="E9" s="489" t="s">
        <v>366</v>
      </c>
      <c r="F9" s="490" t="s">
        <v>203</v>
      </c>
      <c r="G9" s="490" t="s">
        <v>368</v>
      </c>
      <c r="H9" s="114"/>
      <c r="I9" s="19" t="s">
        <v>204</v>
      </c>
      <c r="J9" s="19" t="s">
        <v>205</v>
      </c>
      <c r="K9" s="20"/>
      <c r="L9" s="107" t="s">
        <v>211</v>
      </c>
      <c r="M9" s="107">
        <v>15</v>
      </c>
      <c r="N9" s="107" t="s">
        <v>286</v>
      </c>
      <c r="O9" s="107"/>
    </row>
    <row r="10" spans="1:18" ht="15" thickBot="1">
      <c r="A10" s="494"/>
      <c r="B10" s="490"/>
      <c r="C10" s="490"/>
      <c r="D10" s="489"/>
      <c r="E10" s="489"/>
      <c r="F10" s="490"/>
      <c r="G10" s="490"/>
      <c r="H10" s="18"/>
      <c r="I10" s="108"/>
      <c r="J10" s="108">
        <v>304.59</v>
      </c>
      <c r="K10" s="109"/>
      <c r="L10" s="110" t="s">
        <v>210</v>
      </c>
      <c r="M10" s="110">
        <v>1.2</v>
      </c>
      <c r="N10" s="107" t="s">
        <v>287</v>
      </c>
      <c r="O10" s="107"/>
      <c r="P10" s="21"/>
      <c r="Q10" s="15"/>
      <c r="R10" s="15"/>
    </row>
    <row r="11" spans="1:16" s="118" customFormat="1" ht="15.75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115"/>
      <c r="I11" s="116"/>
      <c r="J11" s="116">
        <v>51.15</v>
      </c>
      <c r="K11" s="117"/>
      <c r="L11" s="116" t="s">
        <v>207</v>
      </c>
      <c r="M11" s="116">
        <v>5</v>
      </c>
      <c r="N11" s="116" t="s">
        <v>288</v>
      </c>
      <c r="O11" s="116"/>
      <c r="P11" s="114"/>
    </row>
    <row r="12" spans="1:15" ht="14.25">
      <c r="A12" s="54">
        <v>1</v>
      </c>
      <c r="B12" s="432"/>
      <c r="C12" s="103" t="s">
        <v>258</v>
      </c>
      <c r="D12" s="54" t="s">
        <v>190</v>
      </c>
      <c r="E12" s="100">
        <f>M12*2</f>
        <v>370</v>
      </c>
      <c r="F12" s="390"/>
      <c r="G12" s="104">
        <f aca="true" t="shared" si="0" ref="G12:G18">E12*F12</f>
        <v>0</v>
      </c>
      <c r="H12" s="22"/>
      <c r="I12" s="107"/>
      <c r="J12" s="107">
        <v>633.08</v>
      </c>
      <c r="K12" s="109"/>
      <c r="L12" s="107" t="s">
        <v>213</v>
      </c>
      <c r="M12" s="107">
        <v>185</v>
      </c>
      <c r="N12" s="110" t="s">
        <v>252</v>
      </c>
      <c r="O12" s="110"/>
    </row>
    <row r="13" spans="1:15" ht="14.25">
      <c r="A13" s="48">
        <v>2</v>
      </c>
      <c r="B13" s="357"/>
      <c r="C13" s="53" t="s">
        <v>37</v>
      </c>
      <c r="D13" s="48" t="s">
        <v>190</v>
      </c>
      <c r="E13" s="51">
        <f>M9*3.5*2</f>
        <v>105</v>
      </c>
      <c r="F13" s="377"/>
      <c r="G13" s="52">
        <f t="shared" si="0"/>
        <v>0</v>
      </c>
      <c r="H13" s="22"/>
      <c r="I13" s="107"/>
      <c r="J13" s="107">
        <v>98.18</v>
      </c>
      <c r="K13" s="109"/>
      <c r="L13" s="107" t="s">
        <v>209</v>
      </c>
      <c r="M13" s="23">
        <v>1.85</v>
      </c>
      <c r="N13" s="107" t="s">
        <v>284</v>
      </c>
      <c r="O13" s="107"/>
    </row>
    <row r="14" spans="1:15" ht="28.5">
      <c r="A14" s="48">
        <v>3</v>
      </c>
      <c r="B14" s="357"/>
      <c r="C14" s="53" t="s">
        <v>260</v>
      </c>
      <c r="D14" s="48" t="s">
        <v>386</v>
      </c>
      <c r="E14" s="51">
        <f>M12*M13</f>
        <v>342.25</v>
      </c>
      <c r="F14" s="377"/>
      <c r="G14" s="52">
        <f t="shared" si="0"/>
        <v>0</v>
      </c>
      <c r="H14" s="22"/>
      <c r="I14" s="107"/>
      <c r="J14" s="107"/>
      <c r="K14" s="109"/>
      <c r="L14" s="107" t="s">
        <v>208</v>
      </c>
      <c r="M14" s="107">
        <f>M9*M10*M11*2</f>
        <v>180</v>
      </c>
      <c r="N14" s="107" t="s">
        <v>285</v>
      </c>
      <c r="O14" s="107"/>
    </row>
    <row r="15" spans="1:15" ht="28.5">
      <c r="A15" s="48">
        <v>4</v>
      </c>
      <c r="B15" s="357"/>
      <c r="C15" s="53" t="s">
        <v>38</v>
      </c>
      <c r="D15" s="48" t="s">
        <v>386</v>
      </c>
      <c r="E15" s="51">
        <f>M9*3.5*M10</f>
        <v>63</v>
      </c>
      <c r="F15" s="377"/>
      <c r="G15" s="52">
        <f t="shared" si="0"/>
        <v>0</v>
      </c>
      <c r="H15" s="22"/>
      <c r="I15" s="107"/>
      <c r="J15" s="107"/>
      <c r="K15" s="109"/>
      <c r="L15" s="107" t="s">
        <v>212</v>
      </c>
      <c r="M15" s="107">
        <v>3</v>
      </c>
      <c r="N15" s="107" t="s">
        <v>253</v>
      </c>
      <c r="O15" s="107"/>
    </row>
    <row r="16" spans="1:15" ht="14.25">
      <c r="A16" s="48">
        <v>5</v>
      </c>
      <c r="B16" s="357"/>
      <c r="C16" s="53" t="s">
        <v>39</v>
      </c>
      <c r="D16" s="48" t="s">
        <v>190</v>
      </c>
      <c r="E16" s="51">
        <f>M9*1</f>
        <v>15</v>
      </c>
      <c r="F16" s="377"/>
      <c r="G16" s="52">
        <f t="shared" si="0"/>
        <v>0</v>
      </c>
      <c r="H16" s="22"/>
      <c r="I16" s="107"/>
      <c r="J16" s="107"/>
      <c r="K16" s="111"/>
      <c r="L16" s="107"/>
      <c r="M16" s="107"/>
      <c r="N16" s="107" t="s">
        <v>209</v>
      </c>
      <c r="O16" s="107"/>
    </row>
    <row r="17" spans="1:15" ht="16.5">
      <c r="A17" s="48">
        <v>6</v>
      </c>
      <c r="B17" s="357"/>
      <c r="C17" s="53" t="s">
        <v>40</v>
      </c>
      <c r="D17" s="48" t="s">
        <v>386</v>
      </c>
      <c r="E17" s="51">
        <f>M9*1.5</f>
        <v>22.5</v>
      </c>
      <c r="F17" s="377"/>
      <c r="G17" s="52">
        <f t="shared" si="0"/>
        <v>0</v>
      </c>
      <c r="H17" s="22"/>
      <c r="I17" s="107"/>
      <c r="J17" s="107"/>
      <c r="K17" s="111"/>
      <c r="L17" s="112"/>
      <c r="M17" s="112"/>
      <c r="N17" s="107" t="s">
        <v>216</v>
      </c>
      <c r="O17" s="107"/>
    </row>
    <row r="18" spans="1:11" ht="28.5">
      <c r="A18" s="48">
        <v>7</v>
      </c>
      <c r="B18" s="357"/>
      <c r="C18" s="77" t="s">
        <v>268</v>
      </c>
      <c r="D18" s="50" t="s">
        <v>385</v>
      </c>
      <c r="E18" s="51">
        <f>(E14+E15+E17)*0.1</f>
        <v>42.775000000000006</v>
      </c>
      <c r="F18" s="377"/>
      <c r="G18" s="52">
        <f t="shared" si="0"/>
        <v>0</v>
      </c>
      <c r="H18" s="22"/>
      <c r="I18" s="107"/>
      <c r="J18" s="107"/>
      <c r="K18" s="111"/>
    </row>
    <row r="19" spans="1:11" ht="28.5">
      <c r="A19" s="485">
        <v>8</v>
      </c>
      <c r="B19" s="48"/>
      <c r="C19" s="53" t="s">
        <v>202</v>
      </c>
      <c r="D19" s="48"/>
      <c r="E19" s="48"/>
      <c r="F19" s="52"/>
      <c r="G19" s="52"/>
      <c r="H19" s="22"/>
      <c r="I19" s="107"/>
      <c r="J19" s="107"/>
      <c r="K19" s="111"/>
    </row>
    <row r="20" spans="1:11" ht="16.5">
      <c r="A20" s="485">
        <f>A19+1</f>
        <v>9</v>
      </c>
      <c r="B20" s="357"/>
      <c r="C20" s="49" t="s">
        <v>264</v>
      </c>
      <c r="D20" s="50" t="s">
        <v>385</v>
      </c>
      <c r="E20" s="51">
        <f>0.7*J23</f>
        <v>760.9</v>
      </c>
      <c r="F20" s="377"/>
      <c r="G20" s="52">
        <f>E20*F20</f>
        <v>0</v>
      </c>
      <c r="H20" s="22"/>
      <c r="I20" s="107"/>
      <c r="J20" s="107"/>
      <c r="K20" s="111"/>
    </row>
    <row r="21" spans="1:11" ht="16.5">
      <c r="A21" s="485">
        <f>A20+1</f>
        <v>10</v>
      </c>
      <c r="B21" s="357"/>
      <c r="C21" s="53" t="s">
        <v>263</v>
      </c>
      <c r="D21" s="50" t="s">
        <v>385</v>
      </c>
      <c r="E21" s="51">
        <f>0.05*J23</f>
        <v>54.35</v>
      </c>
      <c r="F21" s="377"/>
      <c r="G21" s="52">
        <f>E21*F21</f>
        <v>0</v>
      </c>
      <c r="H21" s="22"/>
      <c r="I21" s="107"/>
      <c r="J21" s="107"/>
      <c r="K21" s="111"/>
    </row>
    <row r="22" spans="1:11" ht="16.5">
      <c r="A22" s="485">
        <f>A21+1</f>
        <v>11</v>
      </c>
      <c r="B22" s="357"/>
      <c r="C22" s="49" t="s">
        <v>265</v>
      </c>
      <c r="D22" s="50" t="s">
        <v>385</v>
      </c>
      <c r="E22" s="51">
        <f>0.25*J23</f>
        <v>271.75</v>
      </c>
      <c r="F22" s="377"/>
      <c r="G22" s="52">
        <f>E22*F22</f>
        <v>0</v>
      </c>
      <c r="H22" s="22"/>
      <c r="I22" s="107"/>
      <c r="J22" s="107"/>
      <c r="K22" s="111"/>
    </row>
    <row r="23" spans="1:11" ht="30" customHeight="1">
      <c r="A23" s="485">
        <v>9</v>
      </c>
      <c r="B23" s="48"/>
      <c r="C23" s="53" t="s">
        <v>244</v>
      </c>
      <c r="D23" s="96"/>
      <c r="E23" s="96"/>
      <c r="F23" s="52"/>
      <c r="G23" s="97"/>
      <c r="H23" s="22"/>
      <c r="I23" s="112">
        <f>SUM(I10:I22)</f>
        <v>0</v>
      </c>
      <c r="J23" s="112">
        <f>SUM(J10:J22)</f>
        <v>1087</v>
      </c>
      <c r="K23" s="107">
        <f>SUM(I23:J23)</f>
        <v>1087</v>
      </c>
    </row>
    <row r="24" spans="1:8" ht="15" customHeight="1">
      <c r="A24" s="485"/>
      <c r="B24" s="357"/>
      <c r="C24" s="49" t="s">
        <v>199</v>
      </c>
      <c r="D24" s="50" t="s">
        <v>385</v>
      </c>
      <c r="E24" s="51">
        <f>0.6*M14</f>
        <v>108</v>
      </c>
      <c r="F24" s="377"/>
      <c r="G24" s="52">
        <f aca="true" t="shared" si="1" ref="G24:G45">E24*F24</f>
        <v>0</v>
      </c>
      <c r="H24" s="22"/>
    </row>
    <row r="25" spans="1:8" ht="16.5">
      <c r="A25" s="485"/>
      <c r="B25" s="357"/>
      <c r="C25" s="53" t="s">
        <v>266</v>
      </c>
      <c r="D25" s="50" t="s">
        <v>385</v>
      </c>
      <c r="E25" s="51">
        <f>0.05*M14</f>
        <v>9</v>
      </c>
      <c r="F25" s="377"/>
      <c r="G25" s="52">
        <f t="shared" si="1"/>
        <v>0</v>
      </c>
      <c r="H25" s="22"/>
    </row>
    <row r="26" spans="1:8" ht="16.5">
      <c r="A26" s="485"/>
      <c r="B26" s="357"/>
      <c r="C26" s="49" t="s">
        <v>267</v>
      </c>
      <c r="D26" s="50" t="s">
        <v>385</v>
      </c>
      <c r="E26" s="51">
        <f>0.35*M14</f>
        <v>62.99999999999999</v>
      </c>
      <c r="F26" s="377"/>
      <c r="G26" s="52">
        <f t="shared" si="1"/>
        <v>0</v>
      </c>
      <c r="H26" s="22"/>
    </row>
    <row r="27" spans="1:8" ht="28.5">
      <c r="A27" s="48">
        <v>10</v>
      </c>
      <c r="B27" s="357"/>
      <c r="C27" s="80" t="s">
        <v>196</v>
      </c>
      <c r="D27" s="50" t="s">
        <v>385</v>
      </c>
      <c r="E27" s="51">
        <f>E22+E26</f>
        <v>334.75</v>
      </c>
      <c r="F27" s="377"/>
      <c r="G27" s="52">
        <f t="shared" si="1"/>
        <v>0</v>
      </c>
      <c r="H27" s="22"/>
    </row>
    <row r="28" spans="1:8" ht="15" customHeight="1">
      <c r="A28" s="48">
        <v>11</v>
      </c>
      <c r="B28" s="357"/>
      <c r="C28" s="55" t="s">
        <v>197</v>
      </c>
      <c r="D28" s="50" t="s">
        <v>385</v>
      </c>
      <c r="E28" s="81">
        <f>E27</f>
        <v>334.75</v>
      </c>
      <c r="F28" s="377"/>
      <c r="G28" s="52">
        <f t="shared" si="1"/>
        <v>0</v>
      </c>
      <c r="H28" s="22"/>
    </row>
    <row r="29" spans="1:8" ht="16.5">
      <c r="A29" s="48">
        <v>12</v>
      </c>
      <c r="B29" s="357"/>
      <c r="C29" s="80" t="s">
        <v>72</v>
      </c>
      <c r="D29" s="50" t="s">
        <v>385</v>
      </c>
      <c r="E29" s="51">
        <f>K23+M14</f>
        <v>1267</v>
      </c>
      <c r="F29" s="377"/>
      <c r="G29" s="52">
        <f t="shared" si="1"/>
        <v>0</v>
      </c>
      <c r="H29" s="22"/>
    </row>
    <row r="30" spans="1:8" ht="16.5">
      <c r="A30" s="48">
        <v>13</v>
      </c>
      <c r="B30" s="357"/>
      <c r="C30" s="49" t="s">
        <v>387</v>
      </c>
      <c r="D30" s="48" t="s">
        <v>386</v>
      </c>
      <c r="E30" s="48">
        <f>M12*4</f>
        <v>740</v>
      </c>
      <c r="F30" s="377"/>
      <c r="G30" s="52">
        <f t="shared" si="1"/>
        <v>0</v>
      </c>
      <c r="H30" s="22"/>
    </row>
    <row r="31" spans="1:8" ht="15" customHeight="1">
      <c r="A31" s="48">
        <v>14</v>
      </c>
      <c r="B31" s="357"/>
      <c r="C31" s="80" t="s">
        <v>42</v>
      </c>
      <c r="D31" s="50" t="s">
        <v>385</v>
      </c>
      <c r="E31" s="51">
        <f>0.1*1.3*E33+0.1*1.4*E34</f>
        <v>25.239999999999995</v>
      </c>
      <c r="F31" s="377"/>
      <c r="G31" s="52">
        <f t="shared" si="1"/>
        <v>0</v>
      </c>
      <c r="H31" s="22"/>
    </row>
    <row r="32" spans="1:8" ht="42.75">
      <c r="A32" s="48">
        <v>15</v>
      </c>
      <c r="B32" s="357"/>
      <c r="C32" s="53" t="s">
        <v>43</v>
      </c>
      <c r="D32" s="50" t="s">
        <v>385</v>
      </c>
      <c r="E32" s="51">
        <f>E29-E31-E43-12.95-33.63</f>
        <v>1054.1799999999998</v>
      </c>
      <c r="F32" s="377"/>
      <c r="G32" s="52">
        <f t="shared" si="1"/>
        <v>0</v>
      </c>
      <c r="H32" s="22"/>
    </row>
    <row r="33" spans="1:8" ht="14.25">
      <c r="A33" s="48">
        <v>16</v>
      </c>
      <c r="B33" s="357"/>
      <c r="C33" s="53" t="s">
        <v>272</v>
      </c>
      <c r="D33" s="48" t="s">
        <v>190</v>
      </c>
      <c r="E33" s="48">
        <v>66</v>
      </c>
      <c r="F33" s="377"/>
      <c r="G33" s="52">
        <f t="shared" si="1"/>
        <v>0</v>
      </c>
      <c r="H33" s="22"/>
    </row>
    <row r="34" spans="1:16" s="30" customFormat="1" ht="14.25">
      <c r="A34" s="48">
        <v>17</v>
      </c>
      <c r="B34" s="357"/>
      <c r="C34" s="53" t="s">
        <v>273</v>
      </c>
      <c r="D34" s="48" t="s">
        <v>190</v>
      </c>
      <c r="E34" s="48">
        <v>119</v>
      </c>
      <c r="F34" s="377"/>
      <c r="G34" s="52">
        <f t="shared" si="1"/>
        <v>0</v>
      </c>
      <c r="H34" s="22"/>
      <c r="I34" s="28"/>
      <c r="J34" s="28"/>
      <c r="K34" s="28"/>
      <c r="L34" s="28"/>
      <c r="M34" s="28"/>
      <c r="N34" s="28"/>
      <c r="O34" s="28"/>
      <c r="P34" s="31"/>
    </row>
    <row r="35" spans="1:11" ht="28.5">
      <c r="A35" s="48">
        <v>18</v>
      </c>
      <c r="B35" s="357"/>
      <c r="C35" s="53" t="s">
        <v>313</v>
      </c>
      <c r="D35" s="48" t="s">
        <v>191</v>
      </c>
      <c r="E35" s="48">
        <v>3</v>
      </c>
      <c r="F35" s="377"/>
      <c r="G35" s="52">
        <f t="shared" si="1"/>
        <v>0</v>
      </c>
      <c r="H35" s="22"/>
      <c r="K35" s="113"/>
    </row>
    <row r="36" spans="1:13" ht="15" customHeight="1">
      <c r="A36" s="48">
        <v>19</v>
      </c>
      <c r="B36" s="357"/>
      <c r="C36" s="53" t="s">
        <v>200</v>
      </c>
      <c r="D36" s="48" t="s">
        <v>191</v>
      </c>
      <c r="E36" s="48">
        <f>M9</f>
        <v>15</v>
      </c>
      <c r="F36" s="377"/>
      <c r="G36" s="52">
        <f t="shared" si="1"/>
        <v>0</v>
      </c>
      <c r="H36" s="22"/>
      <c r="M36" s="31"/>
    </row>
    <row r="37" spans="1:8" ht="30" customHeight="1">
      <c r="A37" s="48">
        <v>20</v>
      </c>
      <c r="B37" s="357"/>
      <c r="C37" s="53" t="s">
        <v>233</v>
      </c>
      <c r="D37" s="48" t="s">
        <v>191</v>
      </c>
      <c r="E37" s="51">
        <v>6</v>
      </c>
      <c r="F37" s="377"/>
      <c r="G37" s="52">
        <f t="shared" si="1"/>
        <v>0</v>
      </c>
      <c r="H37" s="22"/>
    </row>
    <row r="38" spans="1:8" ht="14.25">
      <c r="A38" s="48">
        <v>21</v>
      </c>
      <c r="B38" s="357"/>
      <c r="C38" s="49" t="s">
        <v>192</v>
      </c>
      <c r="D38" s="48" t="s">
        <v>193</v>
      </c>
      <c r="E38" s="51">
        <f>40*M12/2000</f>
        <v>3.7</v>
      </c>
      <c r="F38" s="377"/>
      <c r="G38" s="52">
        <f t="shared" si="1"/>
        <v>0</v>
      </c>
      <c r="H38" s="22"/>
    </row>
    <row r="39" spans="1:15" ht="14.25">
      <c r="A39" s="48">
        <v>22</v>
      </c>
      <c r="B39" s="357"/>
      <c r="C39" s="95" t="s">
        <v>282</v>
      </c>
      <c r="D39" s="48" t="s">
        <v>190</v>
      </c>
      <c r="E39" s="51">
        <f>E16</f>
        <v>15</v>
      </c>
      <c r="F39" s="377"/>
      <c r="G39" s="52">
        <f t="shared" si="1"/>
        <v>0</v>
      </c>
      <c r="H39" s="22"/>
      <c r="I39" s="31"/>
      <c r="J39" s="31"/>
      <c r="K39" s="31"/>
      <c r="L39" s="31"/>
      <c r="N39" s="31"/>
      <c r="O39" s="31"/>
    </row>
    <row r="40" spans="1:8" ht="16.5">
      <c r="A40" s="48">
        <v>23</v>
      </c>
      <c r="B40" s="357"/>
      <c r="C40" s="95" t="s">
        <v>283</v>
      </c>
      <c r="D40" s="48" t="s">
        <v>386</v>
      </c>
      <c r="E40" s="51">
        <f>E17</f>
        <v>22.5</v>
      </c>
      <c r="F40" s="377"/>
      <c r="G40" s="52">
        <f t="shared" si="1"/>
        <v>0</v>
      </c>
      <c r="H40" s="22"/>
    </row>
    <row r="41" spans="1:16" s="30" customFormat="1" ht="28.5">
      <c r="A41" s="48">
        <v>24</v>
      </c>
      <c r="B41" s="357"/>
      <c r="C41" s="77" t="s">
        <v>293</v>
      </c>
      <c r="D41" s="48" t="s">
        <v>195</v>
      </c>
      <c r="E41" s="82">
        <f>(E14+E15)*96/1000</f>
        <v>38.904</v>
      </c>
      <c r="F41" s="377"/>
      <c r="G41" s="52">
        <f t="shared" si="1"/>
        <v>0</v>
      </c>
      <c r="H41" s="28"/>
      <c r="I41" s="28"/>
      <c r="J41" s="28"/>
      <c r="K41" s="28"/>
      <c r="L41" s="28"/>
      <c r="M41" s="28"/>
      <c r="N41" s="28"/>
      <c r="O41" s="28"/>
      <c r="P41" s="31"/>
    </row>
    <row r="42" spans="1:7" ht="28.5">
      <c r="A42" s="48">
        <v>25</v>
      </c>
      <c r="B42" s="357"/>
      <c r="C42" s="77" t="s">
        <v>20</v>
      </c>
      <c r="D42" s="48" t="s">
        <v>195</v>
      </c>
      <c r="E42" s="82">
        <f>(E14+E15)*0.06*2.4</f>
        <v>58.355999999999995</v>
      </c>
      <c r="F42" s="377"/>
      <c r="G42" s="52">
        <f t="shared" si="1"/>
        <v>0</v>
      </c>
    </row>
    <row r="43" spans="1:13" ht="28.5">
      <c r="A43" s="48">
        <v>26</v>
      </c>
      <c r="B43" s="357"/>
      <c r="C43" s="53" t="s">
        <v>21</v>
      </c>
      <c r="D43" s="83" t="s">
        <v>385</v>
      </c>
      <c r="E43" s="85">
        <v>141</v>
      </c>
      <c r="F43" s="377"/>
      <c r="G43" s="52">
        <f t="shared" si="1"/>
        <v>0</v>
      </c>
      <c r="H43" s="22"/>
      <c r="K43" s="31"/>
      <c r="L43" s="31"/>
      <c r="M43" s="31"/>
    </row>
    <row r="44" spans="1:8" ht="14.25">
      <c r="A44" s="48">
        <v>27</v>
      </c>
      <c r="B44" s="357"/>
      <c r="C44" s="77" t="s">
        <v>194</v>
      </c>
      <c r="D44" s="74" t="s">
        <v>190</v>
      </c>
      <c r="E44" s="85">
        <f>E12+E13</f>
        <v>475</v>
      </c>
      <c r="F44" s="377"/>
      <c r="G44" s="52">
        <f t="shared" si="1"/>
        <v>0</v>
      </c>
      <c r="H44" s="22"/>
    </row>
    <row r="45" spans="1:16" s="2" customFormat="1" ht="14.25">
      <c r="A45" s="48">
        <v>28</v>
      </c>
      <c r="B45" s="357"/>
      <c r="C45" s="55" t="s">
        <v>201</v>
      </c>
      <c r="D45" s="50" t="s">
        <v>190</v>
      </c>
      <c r="E45" s="50">
        <f>M12</f>
        <v>185</v>
      </c>
      <c r="F45" s="377"/>
      <c r="G45" s="52">
        <f t="shared" si="1"/>
        <v>0</v>
      </c>
      <c r="H45" s="22"/>
      <c r="I45" s="28"/>
      <c r="J45" s="28"/>
      <c r="K45" s="28"/>
      <c r="L45" s="28"/>
      <c r="M45" s="28"/>
      <c r="N45" s="28"/>
      <c r="O45" s="28"/>
      <c r="P45" s="18"/>
    </row>
    <row r="46" spans="5:8" ht="15">
      <c r="E46" s="57"/>
      <c r="F46" s="58" t="s">
        <v>364</v>
      </c>
      <c r="G46" s="59">
        <f>SUM(G12:G45)</f>
        <v>0</v>
      </c>
      <c r="H46" s="22"/>
    </row>
    <row r="47" spans="5:8" ht="15">
      <c r="E47" s="484" t="s">
        <v>206</v>
      </c>
      <c r="F47" s="484"/>
      <c r="G47" s="59">
        <f>G46*0.2</f>
        <v>0</v>
      </c>
      <c r="H47" s="22"/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5" ht="18.75">
      <c r="B50" s="63" t="s">
        <v>370</v>
      </c>
      <c r="C50" s="64" t="s">
        <v>371</v>
      </c>
      <c r="D50" s="62"/>
      <c r="E50" s="62"/>
    </row>
    <row r="52" ht="15" customHeight="1"/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F47 A8:A65536 C8:E65536 B8:B9 B11:B65536 A6:E7" name="Range1"/>
  </protectedRanges>
  <mergeCells count="18">
    <mergeCell ref="C1:G1"/>
    <mergeCell ref="C3:G3"/>
    <mergeCell ref="A4:B4"/>
    <mergeCell ref="C4:G4"/>
    <mergeCell ref="C5:G5"/>
    <mergeCell ref="B9:B10"/>
    <mergeCell ref="A9:A10"/>
    <mergeCell ref="F6:F7"/>
    <mergeCell ref="C9:C10"/>
    <mergeCell ref="G9:G10"/>
    <mergeCell ref="E47:F47"/>
    <mergeCell ref="A23:A26"/>
    <mergeCell ref="A19:A22"/>
    <mergeCell ref="A6:E7"/>
    <mergeCell ref="A8:E8"/>
    <mergeCell ref="D9:D10"/>
    <mergeCell ref="E9:E10"/>
    <mergeCell ref="F9:F10"/>
  </mergeCells>
  <printOptions horizontalCentered="1"/>
  <pageMargins left="0.5905511811023623" right="0.11811023622047245" top="0.2362204724409449" bottom="0.5118110236220472" header="0.15748031496062992" footer="0.3937007874015748"/>
  <pageSetup fitToHeight="1" fitToWidth="1"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00390625" style="320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598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28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20.2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36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393.25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96.53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503"/>
      <c r="C11" s="490"/>
      <c r="D11" s="489"/>
      <c r="E11" s="489"/>
      <c r="F11" s="490"/>
      <c r="G11" s="490"/>
      <c r="H11" s="14"/>
      <c r="I11" s="48">
        <v>234.38</v>
      </c>
      <c r="J11" s="48"/>
      <c r="K11" s="47"/>
      <c r="L11" s="48" t="s">
        <v>213</v>
      </c>
      <c r="M11" s="48">
        <v>510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55.1</v>
      </c>
      <c r="J12" s="48"/>
      <c r="K12" s="47"/>
      <c r="L12" s="48" t="s">
        <v>209</v>
      </c>
      <c r="M12" s="5">
        <v>1.75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1020</v>
      </c>
      <c r="F13" s="377"/>
      <c r="G13" s="52">
        <f aca="true" t="shared" si="0" ref="G13:G19">E13*F13</f>
        <v>0</v>
      </c>
      <c r="H13" s="7"/>
      <c r="I13" s="48">
        <v>359.35</v>
      </c>
      <c r="J13" s="48"/>
      <c r="K13" s="47"/>
      <c r="L13" s="48" t="s">
        <v>208</v>
      </c>
      <c r="M13" s="48">
        <f>M8*M9*M10*2</f>
        <v>518.4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M8*4.5*2</f>
        <v>324</v>
      </c>
      <c r="F14" s="377"/>
      <c r="G14" s="52">
        <f t="shared" si="0"/>
        <v>0</v>
      </c>
      <c r="H14" s="7"/>
      <c r="I14" s="48">
        <v>79.05</v>
      </c>
      <c r="J14" s="48"/>
      <c r="K14" s="47"/>
      <c r="L14" s="48" t="s">
        <v>212</v>
      </c>
      <c r="M14" s="48">
        <v>10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892.5</v>
      </c>
      <c r="F15" s="377"/>
      <c r="G15" s="52">
        <f t="shared" si="0"/>
        <v>0</v>
      </c>
      <c r="H15" s="7"/>
      <c r="I15" s="48">
        <v>621.62</v>
      </c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M8*M9*4.5</f>
        <v>194.39999999999998</v>
      </c>
      <c r="F16" s="377"/>
      <c r="G16" s="52">
        <f t="shared" si="0"/>
        <v>0</v>
      </c>
      <c r="H16" s="7"/>
      <c r="I16" s="48">
        <v>146.48</v>
      </c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36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M8*1.5</f>
        <v>54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114.09000000000002</v>
      </c>
      <c r="F19" s="377"/>
      <c r="G19" s="52">
        <f t="shared" si="0"/>
        <v>0</v>
      </c>
      <c r="H19" s="7"/>
      <c r="I19" s="76">
        <f>SUM(I9:I18)</f>
        <v>1985.7600000000002</v>
      </c>
      <c r="J19" s="76">
        <f>SUM(J9:J18)</f>
        <v>0</v>
      </c>
      <c r="K19" s="48">
        <f>SUM(I19:J19)</f>
        <v>1985.7600000000002</v>
      </c>
      <c r="L19" s="34"/>
      <c r="M19" s="34"/>
    </row>
    <row r="20" spans="1:12" ht="28.5">
      <c r="A20" s="496">
        <v>8</v>
      </c>
      <c r="B20" s="408"/>
      <c r="C20" s="44" t="s">
        <v>198</v>
      </c>
      <c r="D20" s="43"/>
      <c r="E20" s="43"/>
      <c r="F20" s="45"/>
      <c r="G20" s="45"/>
      <c r="H20" s="7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1390.0320000000002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99.28800000000001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496.44000000000005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09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311.03999999999996</v>
      </c>
      <c r="F25" s="377"/>
      <c r="G25" s="52">
        <f aca="true" t="shared" si="1" ref="G25:G48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25.92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181.43999999999997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677.88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677.88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2504.1600000000003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2040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0.1*1.1*E34+0.1*1.2*E35+0.1*1.3*E36</f>
        <v>62.68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E30-E32-E46-10.1-9.55-57.1</f>
        <v>1953.9300000000007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v>143</v>
      </c>
      <c r="F34" s="377"/>
      <c r="G34" s="52">
        <f t="shared" si="1"/>
        <v>0</v>
      </c>
      <c r="H34" s="7"/>
    </row>
    <row r="35" spans="1:13" ht="14.25">
      <c r="A35" s="48">
        <v>17</v>
      </c>
      <c r="B35" s="393"/>
      <c r="C35" s="53" t="s">
        <v>271</v>
      </c>
      <c r="D35" s="48" t="s">
        <v>190</v>
      </c>
      <c r="E35" s="48">
        <v>76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272</v>
      </c>
      <c r="D36" s="48" t="s">
        <v>190</v>
      </c>
      <c r="E36" s="48">
        <v>291</v>
      </c>
      <c r="F36" s="377"/>
      <c r="G36" s="52">
        <f t="shared" si="1"/>
        <v>0</v>
      </c>
      <c r="H36" s="7"/>
      <c r="M36" s="34"/>
    </row>
    <row r="37" spans="1:14" ht="28.5">
      <c r="A37" s="48">
        <v>19</v>
      </c>
      <c r="B37" s="393"/>
      <c r="C37" s="53" t="s">
        <v>309</v>
      </c>
      <c r="D37" s="48" t="s">
        <v>191</v>
      </c>
      <c r="E37" s="48">
        <f>M14</f>
        <v>10</v>
      </c>
      <c r="F37" s="377"/>
      <c r="G37" s="52">
        <f t="shared" si="1"/>
        <v>0</v>
      </c>
      <c r="H37" s="7"/>
      <c r="N37" s="34"/>
    </row>
    <row r="38" spans="1:13" ht="14.25">
      <c r="A38" s="48">
        <v>20</v>
      </c>
      <c r="B38" s="393"/>
      <c r="C38" s="53" t="s">
        <v>200</v>
      </c>
      <c r="D38" s="48" t="s">
        <v>191</v>
      </c>
      <c r="E38" s="48">
        <f>M8</f>
        <v>36</v>
      </c>
      <c r="F38" s="377"/>
      <c r="G38" s="52">
        <f t="shared" si="1"/>
        <v>0</v>
      </c>
      <c r="H38" s="7"/>
      <c r="M38" s="34"/>
    </row>
    <row r="39" spans="1:13" ht="42.75">
      <c r="A39" s="48">
        <v>21</v>
      </c>
      <c r="B39" s="393"/>
      <c r="C39" s="53" t="s">
        <v>233</v>
      </c>
      <c r="D39" s="48" t="s">
        <v>191</v>
      </c>
      <c r="E39" s="51">
        <v>13</v>
      </c>
      <c r="F39" s="377"/>
      <c r="G39" s="52">
        <f t="shared" si="1"/>
        <v>0</v>
      </c>
      <c r="H39" s="34"/>
      <c r="M39" s="34"/>
    </row>
    <row r="40" spans="1:8" ht="14.25">
      <c r="A40" s="48">
        <v>22</v>
      </c>
      <c r="B40" s="393"/>
      <c r="C40" s="49" t="s">
        <v>192</v>
      </c>
      <c r="D40" s="48" t="s">
        <v>193</v>
      </c>
      <c r="E40" s="51">
        <f>40*M11/2000</f>
        <v>10.2</v>
      </c>
      <c r="F40" s="377"/>
      <c r="G40" s="52">
        <f t="shared" si="1"/>
        <v>0</v>
      </c>
      <c r="H40" s="7"/>
    </row>
    <row r="41" spans="1:15" ht="14.25">
      <c r="A41" s="48">
        <v>23</v>
      </c>
      <c r="B41" s="393"/>
      <c r="C41" s="95" t="s">
        <v>282</v>
      </c>
      <c r="D41" s="48" t="s">
        <v>190</v>
      </c>
      <c r="E41" s="51">
        <f>E17</f>
        <v>36</v>
      </c>
      <c r="F41" s="377"/>
      <c r="G41" s="52">
        <f t="shared" si="1"/>
        <v>0</v>
      </c>
      <c r="H41" s="7"/>
      <c r="N41" s="30"/>
      <c r="O41" s="30"/>
    </row>
    <row r="42" spans="1:15" ht="16.5">
      <c r="A42" s="48">
        <v>24</v>
      </c>
      <c r="B42" s="393"/>
      <c r="C42" s="95" t="s">
        <v>283</v>
      </c>
      <c r="D42" s="48" t="s">
        <v>386</v>
      </c>
      <c r="E42" s="51">
        <f>E18</f>
        <v>54</v>
      </c>
      <c r="F42" s="377"/>
      <c r="G42" s="52">
        <f t="shared" si="1"/>
        <v>0</v>
      </c>
      <c r="H42" s="7"/>
      <c r="N42" s="30"/>
      <c r="O42" s="30"/>
    </row>
    <row r="43" spans="1:15" s="2" customFormat="1" ht="28.5">
      <c r="A43" s="48">
        <v>25</v>
      </c>
      <c r="B43" s="393"/>
      <c r="C43" s="77" t="s">
        <v>293</v>
      </c>
      <c r="D43" s="48" t="s">
        <v>195</v>
      </c>
      <c r="E43" s="82">
        <f>(E15+E16)*96/1000</f>
        <v>104.34240000000001</v>
      </c>
      <c r="F43" s="377"/>
      <c r="G43" s="52">
        <f t="shared" si="1"/>
        <v>0</v>
      </c>
      <c r="H43" s="7"/>
      <c r="I43" s="29"/>
      <c r="J43" s="29"/>
      <c r="K43" s="29"/>
      <c r="L43" s="29"/>
      <c r="M43" s="3"/>
      <c r="N43" s="29"/>
      <c r="O43" s="29"/>
    </row>
    <row r="44" spans="1:16" s="2" customFormat="1" ht="28.5">
      <c r="A44" s="48">
        <v>26</v>
      </c>
      <c r="B44" s="393"/>
      <c r="C44" s="77" t="s">
        <v>294</v>
      </c>
      <c r="D44" s="48" t="s">
        <v>195</v>
      </c>
      <c r="E44" s="51">
        <f>E43</f>
        <v>104.34240000000001</v>
      </c>
      <c r="F44" s="377"/>
      <c r="G44" s="52">
        <f t="shared" si="1"/>
        <v>0</v>
      </c>
      <c r="H44" s="7"/>
      <c r="I44" s="29"/>
      <c r="J44" s="29"/>
      <c r="K44" s="29"/>
      <c r="L44" s="29"/>
      <c r="M44" s="30"/>
      <c r="N44" s="29"/>
      <c r="O44" s="29"/>
      <c r="P44" s="29"/>
    </row>
    <row r="45" spans="1:8" ht="28.5">
      <c r="A45" s="48">
        <v>27</v>
      </c>
      <c r="B45" s="393"/>
      <c r="C45" s="53" t="s">
        <v>295</v>
      </c>
      <c r="D45" s="83" t="s">
        <v>195</v>
      </c>
      <c r="E45" s="51">
        <f>(E15+E16)*0.06*2.4</f>
        <v>156.5136</v>
      </c>
      <c r="F45" s="377"/>
      <c r="G45" s="52">
        <f t="shared" si="1"/>
        <v>0</v>
      </c>
      <c r="H45" s="7"/>
    </row>
    <row r="46" spans="1:15" s="2" customFormat="1" ht="28.5">
      <c r="A46" s="48">
        <v>28</v>
      </c>
      <c r="B46" s="393"/>
      <c r="C46" s="53" t="s">
        <v>298</v>
      </c>
      <c r="D46" s="83" t="s">
        <v>385</v>
      </c>
      <c r="E46" s="85">
        <v>410.8</v>
      </c>
      <c r="F46" s="377"/>
      <c r="G46" s="52">
        <f t="shared" si="1"/>
        <v>0</v>
      </c>
      <c r="H46" s="7"/>
      <c r="I46" s="29"/>
      <c r="J46" s="29"/>
      <c r="K46" s="29"/>
      <c r="L46" s="29"/>
      <c r="M46" s="3"/>
      <c r="N46" s="3"/>
      <c r="O46" s="6"/>
    </row>
    <row r="47" spans="1:15" s="2" customFormat="1" ht="14.25">
      <c r="A47" s="48">
        <v>29</v>
      </c>
      <c r="B47" s="393"/>
      <c r="C47" s="77" t="s">
        <v>194</v>
      </c>
      <c r="D47" s="74" t="s">
        <v>190</v>
      </c>
      <c r="E47" s="85">
        <f>E13</f>
        <v>1020</v>
      </c>
      <c r="F47" s="377"/>
      <c r="G47" s="52">
        <f t="shared" si="1"/>
        <v>0</v>
      </c>
      <c r="H47" s="7"/>
      <c r="I47" s="29"/>
      <c r="J47" s="29"/>
      <c r="K47" s="29"/>
      <c r="L47" s="29"/>
      <c r="M47" s="3"/>
      <c r="N47" s="29"/>
      <c r="O47" s="29"/>
    </row>
    <row r="48" spans="1:15" s="2" customFormat="1" ht="12.75" customHeight="1">
      <c r="A48" s="48">
        <v>30</v>
      </c>
      <c r="B48" s="393"/>
      <c r="C48" s="55" t="s">
        <v>201</v>
      </c>
      <c r="D48" s="50" t="s">
        <v>190</v>
      </c>
      <c r="E48" s="50">
        <f>M11</f>
        <v>510</v>
      </c>
      <c r="F48" s="377"/>
      <c r="G48" s="52">
        <f t="shared" si="1"/>
        <v>0</v>
      </c>
      <c r="H48" s="7"/>
      <c r="I48" s="29"/>
      <c r="J48" s="29"/>
      <c r="K48" s="29"/>
      <c r="L48" s="29"/>
      <c r="M48" s="29"/>
      <c r="N48" s="29"/>
      <c r="O48" s="29"/>
    </row>
    <row r="49" spans="5:7" ht="15">
      <c r="E49" s="57"/>
      <c r="F49" s="58" t="s">
        <v>364</v>
      </c>
      <c r="G49" s="59">
        <f>SUM(G13:G48)</f>
        <v>0</v>
      </c>
    </row>
    <row r="50" spans="5:7" ht="15" customHeight="1">
      <c r="E50" s="484" t="s">
        <v>206</v>
      </c>
      <c r="F50" s="484"/>
      <c r="G50" s="59">
        <f>G49*0.2</f>
        <v>0</v>
      </c>
    </row>
    <row r="51" spans="3:7" ht="15">
      <c r="C51" s="26"/>
      <c r="E51" s="57"/>
      <c r="F51" s="60" t="s">
        <v>365</v>
      </c>
      <c r="G51" s="59">
        <f>SUM(G49:G50)</f>
        <v>0</v>
      </c>
    </row>
    <row r="52" spans="3:5" ht="14.25">
      <c r="C52" s="61"/>
      <c r="D52" s="62"/>
      <c r="E52" s="62"/>
    </row>
    <row r="53" spans="2:16" ht="18.75">
      <c r="B53" s="321" t="s">
        <v>370</v>
      </c>
      <c r="C53" s="64" t="s">
        <v>371</v>
      </c>
      <c r="D53" s="62"/>
      <c r="E53" s="62"/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5" customHeight="1">
      <c r="H55" s="28"/>
      <c r="I55" s="28"/>
      <c r="J55" s="28"/>
      <c r="K55" s="28"/>
      <c r="L55" s="28"/>
      <c r="M55" s="28"/>
      <c r="N55" s="28"/>
      <c r="O55" s="28"/>
      <c r="P55" s="28"/>
    </row>
    <row r="56" spans="8:16" ht="14.25">
      <c r="H56" s="28"/>
      <c r="I56" s="28"/>
      <c r="J56" s="28"/>
      <c r="K56" s="28"/>
      <c r="L56" s="28"/>
      <c r="M56" s="28"/>
      <c r="N56" s="28"/>
      <c r="O56" s="28"/>
      <c r="P56" s="28"/>
    </row>
    <row r="57" spans="1:6" s="67" customFormat="1" ht="15">
      <c r="A57" s="65" t="s">
        <v>373</v>
      </c>
      <c r="B57" s="322"/>
      <c r="C57" s="65"/>
      <c r="D57" s="66" t="s">
        <v>374</v>
      </c>
      <c r="E57" s="24"/>
      <c r="F57" s="426"/>
    </row>
    <row r="58" spans="1:6" s="67" customFormat="1" ht="12.75">
      <c r="A58" s="11"/>
      <c r="B58" s="322"/>
      <c r="C58" s="11"/>
      <c r="D58" s="2"/>
      <c r="E58" s="24"/>
      <c r="F58" s="426"/>
    </row>
    <row r="59" spans="1:6" s="67" customFormat="1" ht="14.25">
      <c r="A59" s="11"/>
      <c r="B59" s="322"/>
      <c r="C59" s="68"/>
      <c r="D59" s="69" t="s">
        <v>375</v>
      </c>
      <c r="E59" s="24"/>
      <c r="F59" s="426"/>
    </row>
    <row r="60" spans="1:6" s="67" customFormat="1" ht="12.75">
      <c r="A60" s="11"/>
      <c r="B60" s="322"/>
      <c r="C60" s="11"/>
      <c r="D60" s="2"/>
      <c r="E60" s="70" t="s">
        <v>376</v>
      </c>
      <c r="F60" s="426"/>
    </row>
    <row r="61" spans="1:6" s="67" customFormat="1" ht="14.25">
      <c r="A61" s="11"/>
      <c r="B61" s="322"/>
      <c r="C61" s="68"/>
      <c r="D61" s="69" t="s">
        <v>377</v>
      </c>
      <c r="E61" s="24"/>
      <c r="F61" s="426"/>
    </row>
    <row r="62" spans="1:6" s="67" customFormat="1" ht="12.75">
      <c r="A62" s="11"/>
      <c r="B62" s="322"/>
      <c r="C62" s="11"/>
      <c r="D62" s="71" t="s">
        <v>378</v>
      </c>
      <c r="E62" s="24"/>
      <c r="F62" s="426"/>
    </row>
  </sheetData>
  <sheetProtection sheet="1" formatCells="0" formatColumns="0" formatRows="0" insertColumns="0" insertRows="0" insertHyperlinks="0" deleteColumns="0" deleteRows="0"/>
  <protectedRanges>
    <protectedRange password="CF7A" sqref="A53:E62" name="Range1"/>
    <protectedRange password="CF7A" sqref="A9:A12 C9:E12 B9:B10 B12" name="Range1_2"/>
    <protectedRange password="CF7A" sqref="F50 E49:E51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50:F50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140625" style="320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0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29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20.2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14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291.97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" customHeight="1" thickBot="1">
      <c r="A10" s="493" t="s">
        <v>372</v>
      </c>
      <c r="B10" s="503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85.72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customHeight="1" thickBot="1">
      <c r="A11" s="494"/>
      <c r="B11" s="503"/>
      <c r="C11" s="490"/>
      <c r="D11" s="489"/>
      <c r="E11" s="489"/>
      <c r="F11" s="490"/>
      <c r="G11" s="490"/>
      <c r="H11" s="14"/>
      <c r="I11" s="48">
        <v>347.03</v>
      </c>
      <c r="J11" s="48"/>
      <c r="K11" s="47"/>
      <c r="L11" s="48" t="s">
        <v>213</v>
      </c>
      <c r="M11" s="48">
        <v>248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87.72</v>
      </c>
      <c r="J12" s="48"/>
      <c r="K12" s="47"/>
      <c r="L12" s="48" t="s">
        <v>209</v>
      </c>
      <c r="M12" s="5">
        <v>1.65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496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201.60000000000002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M8*3.5*2</f>
        <v>98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6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409.2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M8*M9*3.5</f>
        <v>58.800000000000004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14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M8*2.5</f>
        <v>35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50.300000000000004</v>
      </c>
      <c r="F19" s="377"/>
      <c r="G19" s="52">
        <f t="shared" si="0"/>
        <v>0</v>
      </c>
      <c r="H19" s="7"/>
      <c r="I19" s="76">
        <f>SUM(I9:I18)</f>
        <v>812.44</v>
      </c>
      <c r="J19" s="76">
        <f>SUM(J9:J18)</f>
        <v>0</v>
      </c>
      <c r="K19" s="48">
        <f>SUM(I19:J19)</f>
        <v>812.44</v>
      </c>
      <c r="L19" s="34"/>
      <c r="M19" s="34"/>
    </row>
    <row r="20" spans="1:12" ht="28.5">
      <c r="A20" s="496">
        <v>8</v>
      </c>
      <c r="B20" s="408"/>
      <c r="C20" s="44" t="s">
        <v>198</v>
      </c>
      <c r="D20" s="43"/>
      <c r="E20" s="43"/>
      <c r="F20" s="45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568.708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40.62200000000001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203.11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09"/>
      <c r="C24" s="53" t="s">
        <v>244</v>
      </c>
      <c r="D24" s="96"/>
      <c r="E24" s="96"/>
      <c r="F24" s="52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120.96000000000001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10.080000000000002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70.56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273.67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273.67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1014.0400000000001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992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0.1*1.1*E34+0.1*1.2*E35</f>
        <v>28.490000000000002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E30-E32-E44-8.97-15.2</f>
        <v>769.69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v>127</v>
      </c>
      <c r="F34" s="377"/>
      <c r="G34" s="52">
        <f t="shared" si="1"/>
        <v>0</v>
      </c>
      <c r="H34" s="7"/>
    </row>
    <row r="35" spans="1:13" ht="14.25">
      <c r="A35" s="48">
        <v>17</v>
      </c>
      <c r="B35" s="393"/>
      <c r="C35" s="53" t="s">
        <v>271</v>
      </c>
      <c r="D35" s="48" t="s">
        <v>190</v>
      </c>
      <c r="E35" s="48">
        <v>121</v>
      </c>
      <c r="F35" s="377"/>
      <c r="G35" s="52">
        <f t="shared" si="1"/>
        <v>0</v>
      </c>
      <c r="H35" s="7"/>
      <c r="M35" s="34"/>
    </row>
    <row r="36" spans="1:13" ht="28.5">
      <c r="A36" s="48">
        <v>18</v>
      </c>
      <c r="B36" s="393"/>
      <c r="C36" s="53" t="s">
        <v>309</v>
      </c>
      <c r="D36" s="48" t="s">
        <v>191</v>
      </c>
      <c r="E36" s="48">
        <f>M14</f>
        <v>6</v>
      </c>
      <c r="F36" s="377"/>
      <c r="G36" s="52">
        <f t="shared" si="1"/>
        <v>0</v>
      </c>
      <c r="H36" s="7"/>
      <c r="M36" s="34"/>
    </row>
    <row r="37" spans="1:13" ht="14.25">
      <c r="A37" s="48">
        <v>19</v>
      </c>
      <c r="B37" s="393"/>
      <c r="C37" s="53" t="s">
        <v>200</v>
      </c>
      <c r="D37" s="48" t="s">
        <v>191</v>
      </c>
      <c r="E37" s="48">
        <f>M8</f>
        <v>14</v>
      </c>
      <c r="F37" s="377"/>
      <c r="G37" s="52">
        <f t="shared" si="1"/>
        <v>0</v>
      </c>
      <c r="H37" s="7"/>
      <c r="M37" s="34"/>
    </row>
    <row r="38" spans="1:13" ht="42.75">
      <c r="A38" s="48">
        <v>20</v>
      </c>
      <c r="B38" s="393"/>
      <c r="C38" s="53" t="s">
        <v>233</v>
      </c>
      <c r="D38" s="48" t="s">
        <v>191</v>
      </c>
      <c r="E38" s="51">
        <v>4</v>
      </c>
      <c r="F38" s="377"/>
      <c r="G38" s="52">
        <f t="shared" si="1"/>
        <v>0</v>
      </c>
      <c r="H38" s="34"/>
      <c r="M38" s="34"/>
    </row>
    <row r="39" spans="1:8" ht="14.25">
      <c r="A39" s="48">
        <v>21</v>
      </c>
      <c r="B39" s="393"/>
      <c r="C39" s="49" t="s">
        <v>192</v>
      </c>
      <c r="D39" s="48" t="s">
        <v>193</v>
      </c>
      <c r="E39" s="51">
        <f>40*M11/2000</f>
        <v>4.96</v>
      </c>
      <c r="F39" s="377"/>
      <c r="G39" s="52">
        <f t="shared" si="1"/>
        <v>0</v>
      </c>
      <c r="H39" s="7"/>
    </row>
    <row r="40" spans="1:15" ht="14.25">
      <c r="A40" s="48">
        <v>22</v>
      </c>
      <c r="B40" s="393"/>
      <c r="C40" s="95" t="s">
        <v>282</v>
      </c>
      <c r="D40" s="48" t="s">
        <v>190</v>
      </c>
      <c r="E40" s="51">
        <f>E17</f>
        <v>14</v>
      </c>
      <c r="F40" s="377"/>
      <c r="G40" s="52">
        <f t="shared" si="1"/>
        <v>0</v>
      </c>
      <c r="H40" s="7"/>
      <c r="N40" s="30"/>
      <c r="O40" s="30"/>
    </row>
    <row r="41" spans="1:15" ht="16.5">
      <c r="A41" s="48">
        <v>23</v>
      </c>
      <c r="B41" s="393"/>
      <c r="C41" s="95" t="s">
        <v>283</v>
      </c>
      <c r="D41" s="48" t="s">
        <v>386</v>
      </c>
      <c r="E41" s="51">
        <f>E18</f>
        <v>35</v>
      </c>
      <c r="F41" s="377"/>
      <c r="G41" s="52">
        <f t="shared" si="1"/>
        <v>0</v>
      </c>
      <c r="H41" s="7"/>
      <c r="N41" s="30"/>
      <c r="O41" s="30"/>
    </row>
    <row r="42" spans="1:15" s="2" customFormat="1" ht="28.5">
      <c r="A42" s="48">
        <v>24</v>
      </c>
      <c r="B42" s="393"/>
      <c r="C42" s="77" t="s">
        <v>293</v>
      </c>
      <c r="D42" s="48" t="s">
        <v>195</v>
      </c>
      <c r="E42" s="82">
        <f>(E15+E16)*96/1000</f>
        <v>44.928</v>
      </c>
      <c r="F42" s="377"/>
      <c r="G42" s="52">
        <f t="shared" si="1"/>
        <v>0</v>
      </c>
      <c r="H42" s="7"/>
      <c r="I42" s="29"/>
      <c r="J42" s="29"/>
      <c r="K42" s="29"/>
      <c r="L42" s="29"/>
      <c r="M42" s="3"/>
      <c r="N42" s="29"/>
      <c r="O42" s="29"/>
    </row>
    <row r="43" spans="1:13" ht="28.5">
      <c r="A43" s="48">
        <v>25</v>
      </c>
      <c r="B43" s="393"/>
      <c r="C43" s="53" t="s">
        <v>295</v>
      </c>
      <c r="D43" s="83" t="s">
        <v>195</v>
      </c>
      <c r="E43" s="51">
        <f>(E15+E16)*0.06*2.4</f>
        <v>67.392</v>
      </c>
      <c r="F43" s="377"/>
      <c r="G43" s="52">
        <f t="shared" si="1"/>
        <v>0</v>
      </c>
      <c r="H43" s="7"/>
      <c r="M43" s="30"/>
    </row>
    <row r="44" spans="1:15" s="2" customFormat="1" ht="28.5">
      <c r="A44" s="48">
        <v>26</v>
      </c>
      <c r="B44" s="393"/>
      <c r="C44" s="53" t="s">
        <v>21</v>
      </c>
      <c r="D44" s="83" t="s">
        <v>385</v>
      </c>
      <c r="E44" s="85">
        <v>191.69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29"/>
      <c r="O44" s="29"/>
    </row>
    <row r="45" spans="1:15" s="2" customFormat="1" ht="14.25">
      <c r="A45" s="48">
        <v>27</v>
      </c>
      <c r="B45" s="393"/>
      <c r="C45" s="77" t="s">
        <v>194</v>
      </c>
      <c r="D45" s="74" t="s">
        <v>190</v>
      </c>
      <c r="E45" s="85">
        <f>E13</f>
        <v>496</v>
      </c>
      <c r="F45" s="377"/>
      <c r="G45" s="52">
        <f t="shared" si="1"/>
        <v>0</v>
      </c>
      <c r="H45" s="7"/>
      <c r="I45" s="29"/>
      <c r="J45" s="29"/>
      <c r="K45" s="29"/>
      <c r="L45" s="29"/>
      <c r="M45" s="3"/>
      <c r="N45" s="29"/>
      <c r="O45" s="29"/>
    </row>
    <row r="46" spans="1:15" s="2" customFormat="1" ht="12.75" customHeight="1">
      <c r="A46" s="48">
        <v>28</v>
      </c>
      <c r="B46" s="393"/>
      <c r="C46" s="55" t="s">
        <v>201</v>
      </c>
      <c r="D46" s="50" t="s">
        <v>190</v>
      </c>
      <c r="E46" s="50">
        <f>M11</f>
        <v>248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29"/>
      <c r="O46" s="29"/>
    </row>
    <row r="47" spans="5:7" ht="15">
      <c r="E47" s="57"/>
      <c r="F47" s="58" t="s">
        <v>364</v>
      </c>
      <c r="G47" s="59">
        <f>SUM(G13:G46)</f>
        <v>0</v>
      </c>
    </row>
    <row r="48" spans="5:7" ht="15" customHeight="1">
      <c r="E48" s="484" t="s">
        <v>206</v>
      </c>
      <c r="F48" s="484"/>
      <c r="G48" s="59">
        <f>G47*0.2</f>
        <v>0</v>
      </c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425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3.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 customHeight="1">
      <c r="H54" s="28"/>
      <c r="I54" s="28"/>
      <c r="J54" s="28"/>
      <c r="K54" s="28"/>
      <c r="L54" s="28"/>
      <c r="M54" s="28"/>
      <c r="N54" s="28"/>
      <c r="O54" s="28"/>
      <c r="P54" s="28"/>
    </row>
    <row r="55" spans="1:5" s="67" customFormat="1" ht="15">
      <c r="A55" s="65" t="s">
        <v>373</v>
      </c>
      <c r="B55" s="322"/>
      <c r="C55" s="65"/>
      <c r="D55" s="66" t="s">
        <v>374</v>
      </c>
      <c r="E55" s="24"/>
    </row>
    <row r="56" spans="1:5" s="67" customFormat="1" ht="12.75">
      <c r="A56" s="11"/>
      <c r="B56" s="322"/>
      <c r="C56" s="11"/>
      <c r="D56" s="2"/>
      <c r="E56" s="24"/>
    </row>
    <row r="57" spans="1:5" s="67" customFormat="1" ht="15" customHeight="1">
      <c r="A57" s="11"/>
      <c r="B57" s="322"/>
      <c r="C57" s="68"/>
      <c r="D57" s="69" t="s">
        <v>375</v>
      </c>
      <c r="E57" s="24"/>
    </row>
    <row r="58" spans="1:5" s="67" customFormat="1" ht="12.75">
      <c r="A58" s="11"/>
      <c r="B58" s="322"/>
      <c r="C58" s="11"/>
      <c r="D58" s="2"/>
      <c r="E58" s="70" t="s">
        <v>376</v>
      </c>
    </row>
    <row r="59" spans="1:5" s="67" customFormat="1" ht="13.5" customHeight="1">
      <c r="A59" s="11"/>
      <c r="B59" s="322"/>
      <c r="C59" s="68"/>
      <c r="D59" s="69" t="s">
        <v>377</v>
      </c>
      <c r="E59" s="24"/>
    </row>
    <row r="60" spans="1:5" s="67" customFormat="1" ht="13.5" customHeight="1">
      <c r="A60" s="11"/>
      <c r="B60" s="322"/>
      <c r="C60" s="11"/>
      <c r="D60" s="71" t="s">
        <v>378</v>
      </c>
      <c r="E60" s="24"/>
    </row>
  </sheetData>
  <sheetProtection sheet="1" formatCells="0" formatColumns="0" formatRows="0" insertColumns="0" insertRows="0" insertHyperlinks="0" deleteColumns="0" deleteRows="0"/>
  <protectedRanges>
    <protectedRange password="CF7A" sqref="A51:E52" name="Range1"/>
    <protectedRange password="CF7A" sqref="A9:A12 C9:E12 B9:B10 B12" name="Range1_2"/>
    <protectedRange password="CF7A" sqref="F48 E47:E49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8:F48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1" zoomScaleNormal="71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0039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30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14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416.64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116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160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1.7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320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168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M8*3*2</f>
        <v>84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3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272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</f>
        <v>50.400000000000006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14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28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35.04</v>
      </c>
      <c r="F19" s="377"/>
      <c r="G19" s="52">
        <f t="shared" si="0"/>
        <v>0</v>
      </c>
      <c r="H19" s="7"/>
      <c r="I19" s="76">
        <f>SUM(I9:I18)</f>
        <v>532.64</v>
      </c>
      <c r="J19" s="76">
        <f>SUM(J9:J18)</f>
        <v>0</v>
      </c>
      <c r="K19" s="48">
        <f>SUM(I19:J19)</f>
        <v>532.64</v>
      </c>
      <c r="L19" s="34"/>
      <c r="M19" s="34"/>
    </row>
    <row r="20" spans="1:12" ht="28.5">
      <c r="A20" s="496">
        <v>8</v>
      </c>
      <c r="B20" s="412"/>
      <c r="C20" s="44" t="s">
        <v>198</v>
      </c>
      <c r="D20" s="43"/>
      <c r="E20" s="43"/>
      <c r="F20" s="403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372.84799999999996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26.632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133.16</v>
      </c>
      <c r="F23" s="377"/>
      <c r="G23" s="52">
        <f>E23*F23</f>
        <v>0</v>
      </c>
      <c r="H23" s="7"/>
      <c r="I23" s="34"/>
      <c r="J23" s="34"/>
      <c r="K23" s="34"/>
    </row>
    <row r="24" spans="1:11" ht="30" customHeight="1">
      <c r="A24" s="496">
        <v>9</v>
      </c>
      <c r="B24" s="413"/>
      <c r="C24" s="53" t="s">
        <v>244</v>
      </c>
      <c r="D24" s="96"/>
      <c r="E24" s="96"/>
      <c r="F24" s="411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100.8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8.4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58.8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191.95999999999998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191.95999999999998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700.64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640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0.1*1.2*E34</f>
        <v>19.2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E30-E32-E43-20.1</f>
        <v>527.3399999999999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271</v>
      </c>
      <c r="D34" s="48" t="s">
        <v>190</v>
      </c>
      <c r="E34" s="48">
        <f>M11</f>
        <v>160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3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14</v>
      </c>
      <c r="F36" s="377"/>
      <c r="G36" s="52">
        <f t="shared" si="1"/>
        <v>0</v>
      </c>
      <c r="H36" s="7"/>
      <c r="M36" s="34"/>
    </row>
    <row r="37" spans="1:13" ht="30" customHeight="1">
      <c r="A37" s="48">
        <v>19</v>
      </c>
      <c r="B37" s="393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3.2</v>
      </c>
      <c r="F38" s="377"/>
      <c r="G38" s="52">
        <f t="shared" si="1"/>
        <v>0</v>
      </c>
      <c r="H38" s="7"/>
    </row>
    <row r="39" spans="1:15" ht="14.25">
      <c r="A39" s="48">
        <v>21</v>
      </c>
      <c r="B39" s="393"/>
      <c r="C39" s="95" t="s">
        <v>282</v>
      </c>
      <c r="D39" s="48" t="s">
        <v>190</v>
      </c>
      <c r="E39" s="51">
        <f>E17</f>
        <v>14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93"/>
      <c r="C40" s="95" t="s">
        <v>283</v>
      </c>
      <c r="D40" s="48" t="s">
        <v>386</v>
      </c>
      <c r="E40" s="51">
        <f>E18</f>
        <v>28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30.9504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3" ht="28.5">
      <c r="A42" s="48">
        <v>24</v>
      </c>
      <c r="B42" s="393"/>
      <c r="C42" s="53" t="s">
        <v>295</v>
      </c>
      <c r="D42" s="83" t="s">
        <v>195</v>
      </c>
      <c r="E42" s="51">
        <f>(E15+E16)*0.06*2.4</f>
        <v>46.425599999999996</v>
      </c>
      <c r="F42" s="377"/>
      <c r="G42" s="52">
        <f t="shared" si="1"/>
        <v>0</v>
      </c>
      <c r="H42" s="7"/>
      <c r="M42" s="30"/>
    </row>
    <row r="43" spans="1:15" s="2" customFormat="1" ht="28.5">
      <c r="A43" s="48">
        <v>25</v>
      </c>
      <c r="B43" s="393"/>
      <c r="C43" s="53" t="s">
        <v>21</v>
      </c>
      <c r="D43" s="83" t="s">
        <v>385</v>
      </c>
      <c r="E43" s="85">
        <v>134</v>
      </c>
      <c r="F43" s="377"/>
      <c r="G43" s="52">
        <f t="shared" si="1"/>
        <v>0</v>
      </c>
      <c r="H43" s="7"/>
      <c r="I43" s="29"/>
      <c r="J43" s="29"/>
      <c r="K43" s="29"/>
      <c r="L43" s="29"/>
      <c r="M43" s="29"/>
      <c r="N43" s="29"/>
      <c r="O43" s="29"/>
    </row>
    <row r="44" spans="1:15" s="2" customFormat="1" ht="14.25">
      <c r="A44" s="48">
        <v>26</v>
      </c>
      <c r="B44" s="393"/>
      <c r="C44" s="77" t="s">
        <v>194</v>
      </c>
      <c r="D44" s="74" t="s">
        <v>190</v>
      </c>
      <c r="E44" s="85">
        <f>E13</f>
        <v>320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29"/>
      <c r="O44" s="29"/>
    </row>
    <row r="45" spans="1:15" s="2" customFormat="1" ht="12.75" customHeight="1">
      <c r="A45" s="48">
        <v>27</v>
      </c>
      <c r="B45" s="393"/>
      <c r="C45" s="55" t="s">
        <v>201</v>
      </c>
      <c r="D45" s="50" t="s">
        <v>190</v>
      </c>
      <c r="E45" s="50">
        <f>M11</f>
        <v>160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2"/>
      <c r="C54" s="65"/>
      <c r="D54" s="66" t="s">
        <v>374</v>
      </c>
      <c r="E54" s="24"/>
    </row>
    <row r="55" spans="1:5" s="67" customFormat="1" ht="12.75">
      <c r="A55" s="11"/>
      <c r="B55" s="2"/>
      <c r="C55" s="11"/>
      <c r="D55" s="2"/>
      <c r="E55" s="24"/>
    </row>
    <row r="56" spans="1:5" s="67" customFormat="1" ht="14.25">
      <c r="A56" s="11"/>
      <c r="B56" s="2"/>
      <c r="C56" s="68"/>
      <c r="D56" s="69" t="s">
        <v>375</v>
      </c>
      <c r="E56" s="24"/>
    </row>
    <row r="57" spans="1:5" s="67" customFormat="1" ht="12.75">
      <c r="A57" s="11"/>
      <c r="B57" s="2"/>
      <c r="C57" s="11"/>
      <c r="D57" s="2"/>
      <c r="E57" s="70" t="s">
        <v>376</v>
      </c>
    </row>
    <row r="58" spans="1:5" s="67" customFormat="1" ht="14.25">
      <c r="A58" s="11"/>
      <c r="B58" s="2"/>
      <c r="C58" s="68"/>
      <c r="D58" s="69" t="s">
        <v>377</v>
      </c>
      <c r="E58" s="24"/>
    </row>
    <row r="59" spans="1:5" s="67" customFormat="1" ht="12.75">
      <c r="A59" s="11"/>
      <c r="B59" s="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1968503937007874" footer="0.3937007874015748"/>
  <pageSetup fitToHeight="1" fitToWidth="1" horizontalDpi="600" verticalDpi="600" orientation="portrait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60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14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2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31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14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413.82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115.43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171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342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201.60000000000002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M8*3.5*2</f>
        <v>98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3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273.6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M8*M9*3.5</f>
        <v>58.800000000000004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14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28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36.040000000000006</v>
      </c>
      <c r="F19" s="377"/>
      <c r="G19" s="52">
        <f t="shared" si="0"/>
        <v>0</v>
      </c>
      <c r="H19" s="7"/>
      <c r="I19" s="76">
        <f>SUM(I9:I18)</f>
        <v>529.25</v>
      </c>
      <c r="J19" s="76">
        <f>SUM(J9:J18)</f>
        <v>0</v>
      </c>
      <c r="K19" s="48">
        <f>SUM(I19:J19)</f>
        <v>529.25</v>
      </c>
      <c r="L19" s="34"/>
      <c r="M19" s="34"/>
    </row>
    <row r="20" spans="1:12" ht="28.5">
      <c r="A20" s="496">
        <v>8</v>
      </c>
      <c r="B20" s="412"/>
      <c r="C20" s="44" t="s">
        <v>198</v>
      </c>
      <c r="D20" s="43"/>
      <c r="E20" s="43"/>
      <c r="F20" s="403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370.47499999999997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26.462500000000002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132.3125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13"/>
      <c r="C24" s="53" t="s">
        <v>244</v>
      </c>
      <c r="D24" s="96"/>
      <c r="E24" s="96"/>
      <c r="F24" s="411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120.96000000000001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10.080000000000002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70.56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202.8725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202.8725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730.85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684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0.1*1.1*E34</f>
        <v>18.810000000000002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E30-E32-E44-12.08</f>
        <v>585.0099999999999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f>M11</f>
        <v>171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3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14</v>
      </c>
      <c r="F36" s="377"/>
      <c r="G36" s="52">
        <f t="shared" si="1"/>
        <v>0</v>
      </c>
      <c r="H36" s="7"/>
      <c r="M36" s="34"/>
    </row>
    <row r="37" spans="1:13" ht="30" customHeight="1">
      <c r="A37" s="48">
        <v>19</v>
      </c>
      <c r="B37" s="393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3.42</v>
      </c>
      <c r="F38" s="377"/>
      <c r="G38" s="52">
        <f t="shared" si="1"/>
        <v>0</v>
      </c>
      <c r="H38" s="7"/>
    </row>
    <row r="39" spans="1:15" ht="14.25">
      <c r="A39" s="48">
        <v>21</v>
      </c>
      <c r="B39" s="393"/>
      <c r="C39" s="95" t="s">
        <v>282</v>
      </c>
      <c r="D39" s="48" t="s">
        <v>190</v>
      </c>
      <c r="E39" s="51">
        <f>E17</f>
        <v>14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93"/>
      <c r="C40" s="95" t="s">
        <v>283</v>
      </c>
      <c r="D40" s="48" t="s">
        <v>386</v>
      </c>
      <c r="E40" s="51">
        <f>E18</f>
        <v>28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31.910400000000003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6" s="2" customFormat="1" ht="28.5">
      <c r="A42" s="48">
        <v>24</v>
      </c>
      <c r="B42" s="393"/>
      <c r="C42" s="77" t="s">
        <v>294</v>
      </c>
      <c r="D42" s="48" t="s">
        <v>195</v>
      </c>
      <c r="E42" s="51">
        <f>E41</f>
        <v>31.910400000000003</v>
      </c>
      <c r="F42" s="377"/>
      <c r="G42" s="52">
        <f t="shared" si="1"/>
        <v>0</v>
      </c>
      <c r="H42" s="7"/>
      <c r="I42" s="29"/>
      <c r="J42" s="29"/>
      <c r="K42" s="29"/>
      <c r="L42" s="29"/>
      <c r="M42" s="30"/>
      <c r="N42" s="29"/>
      <c r="O42" s="29"/>
      <c r="P42" s="29"/>
    </row>
    <row r="43" spans="1:8" ht="28.5">
      <c r="A43" s="48">
        <v>25</v>
      </c>
      <c r="B43" s="393"/>
      <c r="C43" s="53" t="s">
        <v>295</v>
      </c>
      <c r="D43" s="83" t="s">
        <v>195</v>
      </c>
      <c r="E43" s="51">
        <f>(E15+E16)*0.06*2.4</f>
        <v>47.86560000000001</v>
      </c>
      <c r="F43" s="377"/>
      <c r="G43" s="52">
        <f t="shared" si="1"/>
        <v>0</v>
      </c>
      <c r="H43" s="7"/>
    </row>
    <row r="44" spans="1:15" s="2" customFormat="1" ht="28.5">
      <c r="A44" s="48">
        <v>26</v>
      </c>
      <c r="B44" s="393"/>
      <c r="C44" s="53" t="s">
        <v>298</v>
      </c>
      <c r="D44" s="83" t="s">
        <v>385</v>
      </c>
      <c r="E44" s="85">
        <v>114.95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3"/>
      <c r="O44" s="6"/>
    </row>
    <row r="45" spans="1:15" s="2" customFormat="1" ht="14.25">
      <c r="A45" s="48">
        <v>27</v>
      </c>
      <c r="B45" s="393"/>
      <c r="C45" s="77" t="s">
        <v>194</v>
      </c>
      <c r="D45" s="74" t="s">
        <v>190</v>
      </c>
      <c r="E45" s="85">
        <f>E13</f>
        <v>342</v>
      </c>
      <c r="F45" s="377"/>
      <c r="G45" s="52">
        <f t="shared" si="1"/>
        <v>0</v>
      </c>
      <c r="H45" s="7"/>
      <c r="I45" s="29"/>
      <c r="J45" s="29"/>
      <c r="K45" s="29"/>
      <c r="L45" s="29"/>
      <c r="M45" s="3"/>
      <c r="N45" s="29"/>
      <c r="O45" s="29"/>
    </row>
    <row r="46" spans="1:15" s="2" customFormat="1" ht="12.75" customHeight="1">
      <c r="A46" s="48">
        <v>28</v>
      </c>
      <c r="B46" s="393"/>
      <c r="C46" s="55" t="s">
        <v>201</v>
      </c>
      <c r="D46" s="50" t="s">
        <v>190</v>
      </c>
      <c r="E46" s="50">
        <f>M11</f>
        <v>171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29"/>
      <c r="O46" s="29"/>
    </row>
    <row r="47" spans="5:7" ht="15">
      <c r="E47" s="57"/>
      <c r="F47" s="58" t="s">
        <v>364</v>
      </c>
      <c r="G47" s="59">
        <f>SUM(G13:G46)</f>
        <v>0</v>
      </c>
    </row>
    <row r="48" spans="5:7" ht="15" customHeight="1">
      <c r="E48" s="484" t="s">
        <v>206</v>
      </c>
      <c r="F48" s="484"/>
      <c r="G48" s="59">
        <f>G47*0.2</f>
        <v>0</v>
      </c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1:5" s="67" customFormat="1" ht="15">
      <c r="A55" s="65" t="s">
        <v>373</v>
      </c>
      <c r="B55" s="2"/>
      <c r="C55" s="65"/>
      <c r="D55" s="66" t="s">
        <v>374</v>
      </c>
      <c r="E55" s="24"/>
    </row>
    <row r="56" spans="1:5" s="67" customFormat="1" ht="12.75">
      <c r="A56" s="11"/>
      <c r="B56" s="2"/>
      <c r="C56" s="11"/>
      <c r="D56" s="2"/>
      <c r="E56" s="24"/>
    </row>
    <row r="57" spans="1:5" s="67" customFormat="1" ht="14.25">
      <c r="A57" s="11"/>
      <c r="B57" s="2"/>
      <c r="C57" s="68"/>
      <c r="D57" s="69" t="s">
        <v>375</v>
      </c>
      <c r="E57" s="24"/>
    </row>
    <row r="58" spans="1:5" s="67" customFormat="1" ht="12.75">
      <c r="A58" s="11"/>
      <c r="B58" s="2"/>
      <c r="C58" s="11"/>
      <c r="D58" s="2"/>
      <c r="E58" s="70" t="s">
        <v>376</v>
      </c>
    </row>
    <row r="59" spans="1:5" s="67" customFormat="1" ht="14.25">
      <c r="A59" s="11"/>
      <c r="B59" s="2"/>
      <c r="C59" s="68"/>
      <c r="D59" s="69" t="s">
        <v>377</v>
      </c>
      <c r="E59" s="24"/>
    </row>
    <row r="60" spans="1:5" s="67" customFormat="1" ht="12.75">
      <c r="A60" s="11"/>
      <c r="B60" s="2"/>
      <c r="C60" s="11"/>
      <c r="D60" s="71" t="s">
        <v>378</v>
      </c>
      <c r="E60" s="24"/>
    </row>
  </sheetData>
  <sheetProtection formatCells="0" formatColumns="0" formatRows="0" insertColumns="0" insertRows="0" insertHyperlinks="0" deleteColumns="0" deleteRows="0"/>
  <protectedRanges>
    <protectedRange password="CF7A" sqref="A51:E60" name="Range1"/>
    <protectedRange password="CF7A" sqref="A9:A12 C9:E12 B9:B10 B12" name="Range1_2"/>
    <protectedRange password="CF7A" sqref="F48 E47:E49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8:F48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15748031496062992" bottom="0.35433070866141736" header="0.3937007874015748" footer="0.1968503937007874"/>
  <pageSetup fitToHeight="1" fitToWidth="1" horizontalDpi="600" verticalDpi="600" orientation="portrait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0039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3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32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8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183.08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51.3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76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152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96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M8*3*2</f>
        <v>48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121.60000000000001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</f>
        <v>28.799999999999997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8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16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16.64</v>
      </c>
      <c r="F19" s="377"/>
      <c r="G19" s="52">
        <f t="shared" si="0"/>
        <v>0</v>
      </c>
      <c r="H19" s="7"/>
      <c r="I19" s="76">
        <f>SUM(I9:I18)</f>
        <v>234.38</v>
      </c>
      <c r="J19" s="76">
        <f>SUM(J9:J18)</f>
        <v>0</v>
      </c>
      <c r="K19" s="48">
        <f>SUM(I19:J19)</f>
        <v>234.38</v>
      </c>
      <c r="L19" s="34"/>
      <c r="M19" s="34"/>
    </row>
    <row r="20" spans="1:12" ht="28.5">
      <c r="A20" s="496">
        <v>8</v>
      </c>
      <c r="B20" s="412"/>
      <c r="C20" s="44" t="s">
        <v>198</v>
      </c>
      <c r="D20" s="43"/>
      <c r="E20" s="43"/>
      <c r="F20" s="403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164.06599999999997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11.719000000000001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58.595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13"/>
      <c r="C24" s="53" t="s">
        <v>244</v>
      </c>
      <c r="D24" s="96"/>
      <c r="E24" s="96"/>
      <c r="F24" s="411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57.599999999999994</v>
      </c>
      <c r="F25" s="377"/>
      <c r="G25" s="52">
        <f aca="true" t="shared" si="1" ref="G25:G44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4.800000000000001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33.599999999999994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92.195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92.195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330.38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304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0.1*1.1*E34</f>
        <v>8.360000000000001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E30-E32-E42-5.37</f>
        <v>254.37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f>M11</f>
        <v>76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2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8</v>
      </c>
      <c r="F36" s="377"/>
      <c r="G36" s="52">
        <f t="shared" si="1"/>
        <v>0</v>
      </c>
      <c r="H36" s="7"/>
      <c r="M36" s="34"/>
    </row>
    <row r="37" spans="1:13" ht="14.25">
      <c r="A37" s="48">
        <v>19</v>
      </c>
      <c r="B37" s="393"/>
      <c r="C37" s="49" t="s">
        <v>192</v>
      </c>
      <c r="D37" s="48" t="s">
        <v>193</v>
      </c>
      <c r="E37" s="51">
        <f>40*M11/2000</f>
        <v>1.52</v>
      </c>
      <c r="F37" s="377"/>
      <c r="G37" s="52">
        <f t="shared" si="1"/>
        <v>0</v>
      </c>
      <c r="H37" s="7"/>
      <c r="M37" s="34"/>
    </row>
    <row r="38" spans="1:15" ht="14.25">
      <c r="A38" s="48">
        <v>20</v>
      </c>
      <c r="B38" s="393"/>
      <c r="C38" s="95" t="s">
        <v>282</v>
      </c>
      <c r="D38" s="48" t="s">
        <v>190</v>
      </c>
      <c r="E38" s="51">
        <f>E17</f>
        <v>8</v>
      </c>
      <c r="F38" s="377"/>
      <c r="G38" s="52">
        <f t="shared" si="1"/>
        <v>0</v>
      </c>
      <c r="H38" s="7"/>
      <c r="N38" s="30"/>
      <c r="O38" s="30"/>
    </row>
    <row r="39" spans="1:15" ht="16.5">
      <c r="A39" s="48">
        <v>21</v>
      </c>
      <c r="B39" s="393"/>
      <c r="C39" s="95" t="s">
        <v>283</v>
      </c>
      <c r="D39" s="48" t="s">
        <v>386</v>
      </c>
      <c r="E39" s="51">
        <f>E18</f>
        <v>16</v>
      </c>
      <c r="F39" s="377"/>
      <c r="G39" s="52">
        <f t="shared" si="1"/>
        <v>0</v>
      </c>
      <c r="H39" s="7"/>
      <c r="N39" s="30"/>
      <c r="O39" s="30"/>
    </row>
    <row r="40" spans="1:15" s="2" customFormat="1" ht="28.5">
      <c r="A40" s="48">
        <v>22</v>
      </c>
      <c r="B40" s="393"/>
      <c r="C40" s="77" t="s">
        <v>293</v>
      </c>
      <c r="D40" s="48" t="s">
        <v>195</v>
      </c>
      <c r="E40" s="82">
        <f>(E15+E16)*96/1000</f>
        <v>14.438400000000001</v>
      </c>
      <c r="F40" s="377"/>
      <c r="G40" s="52">
        <f t="shared" si="1"/>
        <v>0</v>
      </c>
      <c r="H40" s="7"/>
      <c r="I40" s="29"/>
      <c r="J40" s="29"/>
      <c r="K40" s="29"/>
      <c r="L40" s="29"/>
      <c r="M40" s="3"/>
      <c r="N40" s="29"/>
      <c r="O40" s="29"/>
    </row>
    <row r="41" spans="1:13" ht="28.5">
      <c r="A41" s="48">
        <v>23</v>
      </c>
      <c r="B41" s="393"/>
      <c r="C41" s="53" t="s">
        <v>295</v>
      </c>
      <c r="D41" s="83" t="s">
        <v>195</v>
      </c>
      <c r="E41" s="51">
        <f>(E15+E16)*0.06*2.4</f>
        <v>21.6576</v>
      </c>
      <c r="F41" s="377"/>
      <c r="G41" s="52">
        <f t="shared" si="1"/>
        <v>0</v>
      </c>
      <c r="H41" s="7"/>
      <c r="M41" s="30"/>
    </row>
    <row r="42" spans="1:15" s="2" customFormat="1" ht="28.5">
      <c r="A42" s="48">
        <v>24</v>
      </c>
      <c r="B42" s="393"/>
      <c r="C42" s="53" t="s">
        <v>21</v>
      </c>
      <c r="D42" s="83" t="s">
        <v>385</v>
      </c>
      <c r="E42" s="85">
        <v>62.28</v>
      </c>
      <c r="F42" s="377"/>
      <c r="G42" s="52">
        <f t="shared" si="1"/>
        <v>0</v>
      </c>
      <c r="H42" s="7"/>
      <c r="I42" s="29"/>
      <c r="J42" s="29"/>
      <c r="K42" s="29"/>
      <c r="L42" s="29"/>
      <c r="M42" s="29"/>
      <c r="N42" s="29"/>
      <c r="O42" s="29"/>
    </row>
    <row r="43" spans="1:15" s="2" customFormat="1" ht="14.25">
      <c r="A43" s="48">
        <v>25</v>
      </c>
      <c r="B43" s="393"/>
      <c r="C43" s="77" t="s">
        <v>194</v>
      </c>
      <c r="D43" s="74" t="s">
        <v>190</v>
      </c>
      <c r="E43" s="85">
        <f>E13</f>
        <v>152</v>
      </c>
      <c r="F43" s="377"/>
      <c r="G43" s="52">
        <f t="shared" si="1"/>
        <v>0</v>
      </c>
      <c r="H43" s="7"/>
      <c r="I43" s="29"/>
      <c r="J43" s="29"/>
      <c r="K43" s="29"/>
      <c r="L43" s="29"/>
      <c r="M43" s="3"/>
      <c r="N43" s="29"/>
      <c r="O43" s="29"/>
    </row>
    <row r="44" spans="1:15" s="2" customFormat="1" ht="12.75" customHeight="1">
      <c r="A44" s="48">
        <v>26</v>
      </c>
      <c r="B44" s="393"/>
      <c r="C44" s="55" t="s">
        <v>201</v>
      </c>
      <c r="D44" s="50" t="s">
        <v>190</v>
      </c>
      <c r="E44" s="50">
        <f>M11</f>
        <v>76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29"/>
      <c r="O44" s="29"/>
    </row>
    <row r="45" spans="5:7" ht="15">
      <c r="E45" s="57"/>
      <c r="F45" s="58" t="s">
        <v>364</v>
      </c>
      <c r="G45" s="59">
        <f>SUM(G13:G44)</f>
        <v>0</v>
      </c>
    </row>
    <row r="46" spans="5:7" ht="15" customHeight="1">
      <c r="E46" s="484" t="s">
        <v>206</v>
      </c>
      <c r="F46" s="484"/>
      <c r="G46" s="59">
        <f>G45*0.2</f>
        <v>0</v>
      </c>
    </row>
    <row r="47" spans="3:7" ht="15">
      <c r="C47" s="26"/>
      <c r="E47" s="57"/>
      <c r="F47" s="60" t="s">
        <v>365</v>
      </c>
      <c r="G47" s="59">
        <f>SUM(G45:G46)</f>
        <v>0</v>
      </c>
    </row>
    <row r="48" spans="3:5" ht="14.25">
      <c r="C48" s="61"/>
      <c r="D48" s="62"/>
      <c r="E48" s="62"/>
    </row>
    <row r="49" spans="2:16" ht="18.75">
      <c r="B49" s="63" t="s">
        <v>370</v>
      </c>
      <c r="C49" s="64" t="s">
        <v>371</v>
      </c>
      <c r="D49" s="62"/>
      <c r="E49" s="62"/>
      <c r="H49" s="28"/>
      <c r="I49" s="28"/>
      <c r="J49" s="28"/>
      <c r="K49" s="28"/>
      <c r="L49" s="28"/>
      <c r="M49" s="28"/>
      <c r="N49" s="28"/>
      <c r="O49" s="28"/>
      <c r="P49" s="28"/>
    </row>
    <row r="50" spans="8:16" ht="14.25"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5" customHeight="1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1:5" s="67" customFormat="1" ht="15">
      <c r="A53" s="65" t="s">
        <v>373</v>
      </c>
      <c r="B53" s="2"/>
      <c r="C53" s="65"/>
      <c r="D53" s="66" t="s">
        <v>374</v>
      </c>
      <c r="E53" s="24"/>
    </row>
    <row r="54" spans="1:5" s="67" customFormat="1" ht="12.75">
      <c r="A54" s="11"/>
      <c r="B54" s="2"/>
      <c r="C54" s="11"/>
      <c r="D54" s="2"/>
      <c r="E54" s="24"/>
    </row>
    <row r="55" spans="1:5" s="67" customFormat="1" ht="14.25">
      <c r="A55" s="11"/>
      <c r="B55" s="2"/>
      <c r="C55" s="68"/>
      <c r="D55" s="69" t="s">
        <v>375</v>
      </c>
      <c r="E55" s="24"/>
    </row>
    <row r="56" spans="1:5" s="67" customFormat="1" ht="12.75">
      <c r="A56" s="11"/>
      <c r="B56" s="2"/>
      <c r="C56" s="11"/>
      <c r="D56" s="2"/>
      <c r="E56" s="70" t="s">
        <v>376</v>
      </c>
    </row>
    <row r="57" spans="1:5" s="67" customFormat="1" ht="14.25">
      <c r="A57" s="11"/>
      <c r="B57" s="2"/>
      <c r="C57" s="68"/>
      <c r="D57" s="69" t="s">
        <v>377</v>
      </c>
      <c r="E57" s="24"/>
    </row>
    <row r="58" spans="1:5" s="67" customFormat="1" ht="12.75">
      <c r="A58" s="11"/>
      <c r="B58" s="2"/>
      <c r="C58" s="11"/>
      <c r="D58" s="71" t="s">
        <v>378</v>
      </c>
      <c r="E58" s="24"/>
    </row>
  </sheetData>
  <sheetProtection sheet="1" formatCells="0" formatColumns="0" formatRows="0" insertColumns="0" insertRows="0" insertHyperlinks="0" deleteColumns="0" deleteRows="0"/>
  <protectedRanges>
    <protectedRange password="CF7A" sqref="A49:E58" name="Range1"/>
    <protectedRange password="CF7A" sqref="A9:A12 C9:E12 B9:B10 B12" name="Range1_2"/>
    <protectedRange password="CF7A" sqref="F46 E45:E47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6:F46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5748031496062992" top="0.4330708661417323" bottom="0.5118110236220472" header="0.3937007874015748" footer="0.3937007874015748"/>
  <pageSetup fitToHeight="1" fitToWidth="1"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9" zoomScaleNormal="59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281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4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33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9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204.61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60.08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89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178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107.99999999999999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M8*3*2</f>
        <v>54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142.4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</f>
        <v>32.4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9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18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19.28</v>
      </c>
      <c r="F19" s="377"/>
      <c r="G19" s="52">
        <f t="shared" si="0"/>
        <v>0</v>
      </c>
      <c r="H19" s="7"/>
      <c r="I19" s="76">
        <f>SUM(I9:I18)</f>
        <v>264.69</v>
      </c>
      <c r="J19" s="76">
        <f>SUM(J9:J18)</f>
        <v>0</v>
      </c>
      <c r="K19" s="48">
        <f>SUM(I19:J19)</f>
        <v>264.69</v>
      </c>
      <c r="L19" s="34"/>
      <c r="M19" s="34"/>
    </row>
    <row r="20" spans="1:12" ht="28.5">
      <c r="A20" s="496">
        <v>8</v>
      </c>
      <c r="B20" s="412"/>
      <c r="C20" s="44" t="s">
        <v>198</v>
      </c>
      <c r="D20" s="43"/>
      <c r="E20" s="43"/>
      <c r="F20" s="403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185.283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13.2345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66.1725</v>
      </c>
      <c r="F23" s="377"/>
      <c r="G23" s="52">
        <f>E23*F23</f>
        <v>0</v>
      </c>
      <c r="H23" s="7"/>
      <c r="I23" s="34"/>
      <c r="J23" s="34"/>
      <c r="K23" s="34"/>
    </row>
    <row r="24" spans="1:11" ht="28.5">
      <c r="A24" s="496">
        <v>9</v>
      </c>
      <c r="B24" s="413"/>
      <c r="C24" s="53" t="s">
        <v>244</v>
      </c>
      <c r="D24" s="96"/>
      <c r="E24" s="96"/>
      <c r="F24" s="411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64.79999999999998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5.3999999999999995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37.79999999999999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103.9725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103.9725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372.69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356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0.1*1.1*E34</f>
        <v>9.790000000000001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E30-E32-E44-6.29</f>
        <v>293.96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f>M11</f>
        <v>89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2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9</v>
      </c>
      <c r="F36" s="377"/>
      <c r="G36" s="52">
        <f t="shared" si="1"/>
        <v>0</v>
      </c>
      <c r="H36" s="7"/>
      <c r="M36" s="34"/>
    </row>
    <row r="37" spans="1:13" ht="42.75">
      <c r="A37" s="48">
        <v>19</v>
      </c>
      <c r="B37" s="393"/>
      <c r="C37" s="53" t="s">
        <v>233</v>
      </c>
      <c r="D37" s="48" t="s">
        <v>191</v>
      </c>
      <c r="E37" s="51">
        <v>2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1.78</v>
      </c>
      <c r="F38" s="377"/>
      <c r="G38" s="52">
        <f t="shared" si="1"/>
        <v>0</v>
      </c>
      <c r="H38" s="7"/>
    </row>
    <row r="39" spans="1:15" ht="14.25">
      <c r="A39" s="48">
        <v>21</v>
      </c>
      <c r="B39" s="393"/>
      <c r="C39" s="95" t="s">
        <v>282</v>
      </c>
      <c r="D39" s="48" t="s">
        <v>190</v>
      </c>
      <c r="E39" s="51">
        <f>E17</f>
        <v>9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93"/>
      <c r="C40" s="95" t="s">
        <v>283</v>
      </c>
      <c r="D40" s="48" t="s">
        <v>386</v>
      </c>
      <c r="E40" s="51">
        <f>E18</f>
        <v>18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16.780800000000003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6" s="2" customFormat="1" ht="28.5">
      <c r="A42" s="48">
        <v>24</v>
      </c>
      <c r="B42" s="393"/>
      <c r="C42" s="77" t="s">
        <v>294</v>
      </c>
      <c r="D42" s="48" t="s">
        <v>195</v>
      </c>
      <c r="E42" s="51">
        <f>E41</f>
        <v>16.780800000000003</v>
      </c>
      <c r="F42" s="377"/>
      <c r="G42" s="52">
        <f t="shared" si="1"/>
        <v>0</v>
      </c>
      <c r="H42" s="7"/>
      <c r="I42" s="29"/>
      <c r="J42" s="29"/>
      <c r="K42" s="29"/>
      <c r="L42" s="29"/>
      <c r="M42" s="30"/>
      <c r="N42" s="29"/>
      <c r="O42" s="29"/>
      <c r="P42" s="29"/>
    </row>
    <row r="43" spans="1:8" ht="28.5">
      <c r="A43" s="48">
        <v>25</v>
      </c>
      <c r="B43" s="393"/>
      <c r="C43" s="53" t="s">
        <v>30</v>
      </c>
      <c r="D43" s="83" t="s">
        <v>195</v>
      </c>
      <c r="E43" s="51">
        <f>(E15+E16)*0.12*2.4</f>
        <v>50.3424</v>
      </c>
      <c r="F43" s="377"/>
      <c r="G43" s="52">
        <f t="shared" si="1"/>
        <v>0</v>
      </c>
      <c r="H43" s="7"/>
    </row>
    <row r="44" spans="1:16" s="2" customFormat="1" ht="28.5">
      <c r="A44" s="48">
        <v>26</v>
      </c>
      <c r="B44" s="393"/>
      <c r="C44" s="53" t="s">
        <v>31</v>
      </c>
      <c r="D44" s="83" t="s">
        <v>385</v>
      </c>
      <c r="E44" s="85">
        <v>62.65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29"/>
      <c r="O44" s="29"/>
      <c r="P44" s="29"/>
    </row>
    <row r="45" spans="1:15" s="2" customFormat="1" ht="14.25">
      <c r="A45" s="48">
        <v>27</v>
      </c>
      <c r="B45" s="393"/>
      <c r="C45" s="77" t="s">
        <v>194</v>
      </c>
      <c r="D45" s="74" t="s">
        <v>190</v>
      </c>
      <c r="E45" s="85">
        <f>E13</f>
        <v>178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1:15" s="2" customFormat="1" ht="12.75" customHeight="1">
      <c r="A46" s="48">
        <v>28</v>
      </c>
      <c r="B46" s="393"/>
      <c r="C46" s="55" t="s">
        <v>201</v>
      </c>
      <c r="D46" s="50" t="s">
        <v>190</v>
      </c>
      <c r="E46" s="50">
        <f>M11</f>
        <v>89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29"/>
      <c r="O46" s="29"/>
    </row>
    <row r="47" spans="5:7" ht="15">
      <c r="E47" s="57"/>
      <c r="F47" s="58" t="s">
        <v>364</v>
      </c>
      <c r="G47" s="59">
        <f>SUM(G13:G46)</f>
        <v>0</v>
      </c>
    </row>
    <row r="48" spans="5:7" ht="15" customHeight="1">
      <c r="E48" s="484" t="s">
        <v>206</v>
      </c>
      <c r="F48" s="484"/>
      <c r="G48" s="59">
        <f>G47*0.2</f>
        <v>0</v>
      </c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1:5" s="67" customFormat="1" ht="15">
      <c r="A55" s="65" t="s">
        <v>373</v>
      </c>
      <c r="B55" s="2"/>
      <c r="C55" s="65"/>
      <c r="D55" s="66" t="s">
        <v>374</v>
      </c>
      <c r="E55" s="24"/>
    </row>
    <row r="56" spans="1:5" s="67" customFormat="1" ht="12.75">
      <c r="A56" s="11"/>
      <c r="B56" s="2"/>
      <c r="C56" s="11"/>
      <c r="D56" s="2"/>
      <c r="E56" s="24"/>
    </row>
    <row r="57" spans="1:5" s="67" customFormat="1" ht="14.25">
      <c r="A57" s="11"/>
      <c r="B57" s="2"/>
      <c r="C57" s="68"/>
      <c r="D57" s="69" t="s">
        <v>375</v>
      </c>
      <c r="E57" s="24"/>
    </row>
    <row r="58" spans="1:5" s="67" customFormat="1" ht="12.75">
      <c r="A58" s="11"/>
      <c r="B58" s="2"/>
      <c r="C58" s="11"/>
      <c r="D58" s="2"/>
      <c r="E58" s="70" t="s">
        <v>376</v>
      </c>
    </row>
    <row r="59" spans="1:5" s="67" customFormat="1" ht="14.25">
      <c r="A59" s="11"/>
      <c r="B59" s="2"/>
      <c r="C59" s="68"/>
      <c r="D59" s="69" t="s">
        <v>377</v>
      </c>
      <c r="E59" s="24"/>
    </row>
    <row r="60" spans="1:5" s="67" customFormat="1" ht="12.75">
      <c r="A60" s="11"/>
      <c r="B60" s="2"/>
      <c r="C60" s="11"/>
      <c r="D60" s="71" t="s">
        <v>378</v>
      </c>
      <c r="E60" s="24"/>
    </row>
  </sheetData>
  <sheetProtection sheet="1" formatCells="0" formatColumns="0" formatRows="0" insertColumns="0" insertRows="0" insertHyperlinks="0" deleteColumns="0" deleteRows="0"/>
  <protectedRanges>
    <protectedRange password="CF7A" sqref="A51:E60" name="Range1"/>
    <protectedRange password="CF7A" sqref="A9:A12 C9:E12 B9:B10 B12" name="Range1_2"/>
    <protectedRange password="CF7A" sqref="F48 E47:E49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8:F48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8" zoomScaleNormal="98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34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16.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>
        <v>19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446.4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132.98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197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M11*2</f>
        <v>394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273.6</v>
      </c>
      <c r="N13" s="48" t="s">
        <v>285</v>
      </c>
      <c r="O13" s="48"/>
    </row>
    <row r="14" spans="1:15" ht="14.25">
      <c r="A14" s="48">
        <v>2</v>
      </c>
      <c r="B14" s="393"/>
      <c r="C14" s="53" t="s">
        <v>37</v>
      </c>
      <c r="D14" s="48" t="s">
        <v>190</v>
      </c>
      <c r="E14" s="51">
        <f>M8*3.5*2</f>
        <v>133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5</v>
      </c>
      <c r="N14" s="48" t="s">
        <v>253</v>
      </c>
      <c r="O14" s="48"/>
    </row>
    <row r="15" spans="1:15" ht="28.5">
      <c r="A15" s="48">
        <v>3</v>
      </c>
      <c r="B15" s="393"/>
      <c r="C15" s="53" t="s">
        <v>260</v>
      </c>
      <c r="D15" s="48" t="s">
        <v>386</v>
      </c>
      <c r="E15" s="51">
        <f>M11*M12</f>
        <v>315.20000000000005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">
        <v>4</v>
      </c>
      <c r="B16" s="393"/>
      <c r="C16" s="53" t="s">
        <v>38</v>
      </c>
      <c r="D16" s="48" t="s">
        <v>386</v>
      </c>
      <c r="E16" s="51">
        <f>M8*M9*3.5</f>
        <v>79.8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</row>
    <row r="17" spans="1:13" ht="14.25">
      <c r="A17" s="48">
        <v>5</v>
      </c>
      <c r="B17" s="393"/>
      <c r="C17" s="53" t="s">
        <v>39</v>
      </c>
      <c r="D17" s="48" t="s">
        <v>190</v>
      </c>
      <c r="E17" s="51">
        <f>M8*1</f>
        <v>19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93"/>
      <c r="C18" s="53" t="s">
        <v>40</v>
      </c>
      <c r="D18" s="48" t="s">
        <v>386</v>
      </c>
      <c r="E18" s="51">
        <f>M8*2</f>
        <v>38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43.30000000000001</v>
      </c>
      <c r="F19" s="377"/>
      <c r="G19" s="52">
        <f t="shared" si="0"/>
        <v>0</v>
      </c>
      <c r="H19" s="7"/>
      <c r="I19" s="76">
        <f>SUM(I9:I18)</f>
        <v>579.38</v>
      </c>
      <c r="J19" s="76">
        <f>SUM(J9:J18)</f>
        <v>0</v>
      </c>
      <c r="K19" s="48">
        <f>SUM(I19:J19)</f>
        <v>579.38</v>
      </c>
      <c r="L19" s="34"/>
      <c r="M19" s="34"/>
    </row>
    <row r="20" spans="1:12" ht="28.5">
      <c r="A20" s="496">
        <v>8</v>
      </c>
      <c r="B20" s="412"/>
      <c r="C20" s="44" t="s">
        <v>198</v>
      </c>
      <c r="D20" s="43"/>
      <c r="E20" s="43"/>
      <c r="F20" s="403"/>
      <c r="G20" s="45"/>
      <c r="H20" s="4"/>
      <c r="I20" s="34"/>
      <c r="J20" s="34"/>
      <c r="K20" s="34"/>
      <c r="L20" s="34"/>
    </row>
    <row r="21" spans="1:12" ht="16.5">
      <c r="A21" s="497">
        <f>A20+1</f>
        <v>9</v>
      </c>
      <c r="B21" s="393"/>
      <c r="C21" s="49" t="s">
        <v>264</v>
      </c>
      <c r="D21" s="50" t="s">
        <v>385</v>
      </c>
      <c r="E21" s="51">
        <f>0.7*I19</f>
        <v>405.566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1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0.05*I19</f>
        <v>28.969</v>
      </c>
      <c r="F22" s="377"/>
      <c r="G22" s="52">
        <f>E22*F22</f>
        <v>0</v>
      </c>
      <c r="H22" s="7"/>
      <c r="J22" s="34"/>
      <c r="K22" s="34"/>
    </row>
    <row r="23" spans="1:11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0.25*I19</f>
        <v>144.845</v>
      </c>
      <c r="F23" s="377"/>
      <c r="G23" s="52">
        <f>E23*F23</f>
        <v>0</v>
      </c>
      <c r="H23" s="7"/>
      <c r="I23" s="34"/>
      <c r="J23" s="34"/>
      <c r="K23" s="34"/>
    </row>
    <row r="24" spans="1:11" ht="30" customHeight="1">
      <c r="A24" s="496">
        <v>9</v>
      </c>
      <c r="B24" s="413"/>
      <c r="C24" s="53" t="s">
        <v>244</v>
      </c>
      <c r="D24" s="96"/>
      <c r="E24" s="96"/>
      <c r="F24" s="411"/>
      <c r="G24" s="97"/>
      <c r="H24" s="4"/>
      <c r="I24" s="34"/>
      <c r="J24" s="34"/>
      <c r="K24" s="34"/>
    </row>
    <row r="25" spans="1:11" ht="16.5">
      <c r="A25" s="497"/>
      <c r="B25" s="393"/>
      <c r="C25" s="49" t="s">
        <v>199</v>
      </c>
      <c r="D25" s="50" t="s">
        <v>385</v>
      </c>
      <c r="E25" s="51">
        <f>0.6*M13</f>
        <v>164.16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 customHeight="1">
      <c r="A26" s="497"/>
      <c r="B26" s="393"/>
      <c r="C26" s="53" t="s">
        <v>266</v>
      </c>
      <c r="D26" s="50" t="s">
        <v>385</v>
      </c>
      <c r="E26" s="51">
        <f>0.05*M13</f>
        <v>13.680000000000001</v>
      </c>
      <c r="F26" s="377"/>
      <c r="G26" s="52">
        <f t="shared" si="1"/>
        <v>0</v>
      </c>
      <c r="H26" s="7"/>
      <c r="I26" s="34"/>
      <c r="J26" s="34"/>
      <c r="K26" s="34"/>
    </row>
    <row r="27" spans="1:11" ht="15" customHeight="1">
      <c r="A27" s="498"/>
      <c r="B27" s="393"/>
      <c r="C27" s="49" t="s">
        <v>267</v>
      </c>
      <c r="D27" s="50" t="s">
        <v>385</v>
      </c>
      <c r="E27" s="51">
        <f>0.35*M13</f>
        <v>95.76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93"/>
      <c r="C28" s="80" t="s">
        <v>196</v>
      </c>
      <c r="D28" s="50" t="s">
        <v>385</v>
      </c>
      <c r="E28" s="51">
        <f>E23+E27</f>
        <v>240.60500000000002</v>
      </c>
      <c r="F28" s="377"/>
      <c r="G28" s="52">
        <f t="shared" si="1"/>
        <v>0</v>
      </c>
      <c r="H28" s="7"/>
      <c r="I28" s="34"/>
      <c r="J28" s="34"/>
      <c r="K28" s="34"/>
    </row>
    <row r="29" spans="1:11" ht="16.5">
      <c r="A29" s="48">
        <v>11</v>
      </c>
      <c r="B29" s="393"/>
      <c r="C29" s="55" t="s">
        <v>197</v>
      </c>
      <c r="D29" s="50" t="s">
        <v>385</v>
      </c>
      <c r="E29" s="81">
        <f>E28</f>
        <v>240.60500000000002</v>
      </c>
      <c r="F29" s="377"/>
      <c r="G29" s="52">
        <f t="shared" si="1"/>
        <v>0</v>
      </c>
      <c r="H29" s="7"/>
      <c r="I29" s="34"/>
      <c r="K29" s="34"/>
    </row>
    <row r="30" spans="1:11" ht="28.5">
      <c r="A30" s="48">
        <v>12</v>
      </c>
      <c r="B30" s="393"/>
      <c r="C30" s="80" t="s">
        <v>41</v>
      </c>
      <c r="D30" s="50" t="s">
        <v>385</v>
      </c>
      <c r="E30" s="51">
        <f>K19+M13</f>
        <v>852.98</v>
      </c>
      <c r="F30" s="377"/>
      <c r="G30" s="52">
        <f t="shared" si="1"/>
        <v>0</v>
      </c>
      <c r="H30" s="7"/>
      <c r="I30" s="34"/>
      <c r="K30" s="51"/>
    </row>
    <row r="31" spans="1:15" s="30" customFormat="1" ht="16.5">
      <c r="A31" s="48">
        <v>13</v>
      </c>
      <c r="B31" s="393"/>
      <c r="C31" s="49" t="s">
        <v>387</v>
      </c>
      <c r="D31" s="48" t="s">
        <v>386</v>
      </c>
      <c r="E31" s="48">
        <f>M11*4</f>
        <v>788</v>
      </c>
      <c r="F31" s="377"/>
      <c r="G31" s="52">
        <f t="shared" si="1"/>
        <v>0</v>
      </c>
      <c r="H31" s="7"/>
      <c r="I31" s="29"/>
      <c r="K31" s="29"/>
      <c r="L31" s="29"/>
      <c r="N31" s="29"/>
      <c r="O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0.1*1.1*M11</f>
        <v>21.67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E30-E32-E43-13.92</f>
        <v>653.3800000000001</v>
      </c>
      <c r="F33" s="377"/>
      <c r="G33" s="52">
        <f t="shared" si="1"/>
        <v>0</v>
      </c>
      <c r="H33" s="7"/>
    </row>
    <row r="34" spans="1:8" ht="14.25">
      <c r="A34" s="48">
        <v>16</v>
      </c>
      <c r="B34" s="393"/>
      <c r="C34" s="53" t="s">
        <v>291</v>
      </c>
      <c r="D34" s="48" t="s">
        <v>190</v>
      </c>
      <c r="E34" s="48">
        <f>M11</f>
        <v>197</v>
      </c>
      <c r="F34" s="377"/>
      <c r="G34" s="52">
        <f t="shared" si="1"/>
        <v>0</v>
      </c>
      <c r="H34" s="7"/>
    </row>
    <row r="35" spans="1:13" ht="28.5">
      <c r="A35" s="48">
        <v>17</v>
      </c>
      <c r="B35" s="393"/>
      <c r="C35" s="53" t="s">
        <v>309</v>
      </c>
      <c r="D35" s="48" t="s">
        <v>191</v>
      </c>
      <c r="E35" s="48">
        <f>M14</f>
        <v>5</v>
      </c>
      <c r="F35" s="377"/>
      <c r="G35" s="52">
        <f t="shared" si="1"/>
        <v>0</v>
      </c>
      <c r="H35" s="7"/>
      <c r="M35" s="34"/>
    </row>
    <row r="36" spans="1:13" ht="14.25">
      <c r="A36" s="48">
        <v>18</v>
      </c>
      <c r="B36" s="393"/>
      <c r="C36" s="53" t="s">
        <v>200</v>
      </c>
      <c r="D36" s="48" t="s">
        <v>191</v>
      </c>
      <c r="E36" s="48">
        <f>M8</f>
        <v>19</v>
      </c>
      <c r="F36" s="377"/>
      <c r="G36" s="52">
        <f t="shared" si="1"/>
        <v>0</v>
      </c>
      <c r="H36" s="7"/>
      <c r="M36" s="34"/>
    </row>
    <row r="37" spans="1:13" ht="30" customHeight="1">
      <c r="A37" s="48">
        <v>19</v>
      </c>
      <c r="B37" s="393"/>
      <c r="C37" s="53" t="s">
        <v>233</v>
      </c>
      <c r="D37" s="48" t="s">
        <v>191</v>
      </c>
      <c r="E37" s="51">
        <v>4</v>
      </c>
      <c r="F37" s="377"/>
      <c r="G37" s="52">
        <f t="shared" si="1"/>
        <v>0</v>
      </c>
      <c r="H37" s="34"/>
      <c r="M37" s="34"/>
    </row>
    <row r="38" spans="1:8" ht="14.25">
      <c r="A38" s="48">
        <v>20</v>
      </c>
      <c r="B38" s="393"/>
      <c r="C38" s="49" t="s">
        <v>192</v>
      </c>
      <c r="D38" s="48" t="s">
        <v>193</v>
      </c>
      <c r="E38" s="51">
        <f>40*M11/2000</f>
        <v>3.94</v>
      </c>
      <c r="F38" s="377"/>
      <c r="G38" s="52">
        <f t="shared" si="1"/>
        <v>0</v>
      </c>
      <c r="H38" s="7"/>
    </row>
    <row r="39" spans="1:15" ht="14.25">
      <c r="A39" s="48">
        <v>21</v>
      </c>
      <c r="B39" s="393"/>
      <c r="C39" s="95" t="s">
        <v>282</v>
      </c>
      <c r="D39" s="48" t="s">
        <v>190</v>
      </c>
      <c r="E39" s="51">
        <f>E17</f>
        <v>19</v>
      </c>
      <c r="F39" s="377"/>
      <c r="G39" s="52">
        <f t="shared" si="1"/>
        <v>0</v>
      </c>
      <c r="H39" s="7"/>
      <c r="N39" s="30"/>
      <c r="O39" s="30"/>
    </row>
    <row r="40" spans="1:15" ht="16.5">
      <c r="A40" s="48">
        <v>22</v>
      </c>
      <c r="B40" s="393"/>
      <c r="C40" s="95" t="s">
        <v>283</v>
      </c>
      <c r="D40" s="48" t="s">
        <v>386</v>
      </c>
      <c r="E40" s="51">
        <f>E18</f>
        <v>38</v>
      </c>
      <c r="F40" s="377"/>
      <c r="G40" s="52">
        <f t="shared" si="1"/>
        <v>0</v>
      </c>
      <c r="H40" s="7"/>
      <c r="N40" s="30"/>
      <c r="O40" s="30"/>
    </row>
    <row r="41" spans="1:15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37.92000000000001</v>
      </c>
      <c r="F41" s="377"/>
      <c r="G41" s="52">
        <f t="shared" si="1"/>
        <v>0</v>
      </c>
      <c r="H41" s="7"/>
      <c r="I41" s="29"/>
      <c r="J41" s="29"/>
      <c r="K41" s="29"/>
      <c r="L41" s="29"/>
      <c r="M41" s="3"/>
      <c r="N41" s="29"/>
      <c r="O41" s="29"/>
    </row>
    <row r="42" spans="1:13" ht="28.5">
      <c r="A42" s="48">
        <v>24</v>
      </c>
      <c r="B42" s="393"/>
      <c r="C42" s="53" t="s">
        <v>295</v>
      </c>
      <c r="D42" s="83" t="s">
        <v>195</v>
      </c>
      <c r="E42" s="51">
        <f>(E15+E16)*0.06*2.4</f>
        <v>56.88</v>
      </c>
      <c r="F42" s="377"/>
      <c r="G42" s="52">
        <f t="shared" si="1"/>
        <v>0</v>
      </c>
      <c r="H42" s="7"/>
      <c r="M42" s="30"/>
    </row>
    <row r="43" spans="1:15" s="2" customFormat="1" ht="28.5">
      <c r="A43" s="48">
        <v>25</v>
      </c>
      <c r="B43" s="393"/>
      <c r="C43" s="53" t="s">
        <v>21</v>
      </c>
      <c r="D43" s="83" t="s">
        <v>385</v>
      </c>
      <c r="E43" s="85">
        <v>164.01</v>
      </c>
      <c r="F43" s="377"/>
      <c r="G43" s="52">
        <f t="shared" si="1"/>
        <v>0</v>
      </c>
      <c r="H43" s="7"/>
      <c r="I43" s="29"/>
      <c r="J43" s="29"/>
      <c r="K43" s="29"/>
      <c r="L43" s="29"/>
      <c r="M43" s="29"/>
      <c r="N43" s="29"/>
      <c r="O43" s="29"/>
    </row>
    <row r="44" spans="1:15" s="2" customFormat="1" ht="14.25">
      <c r="A44" s="48">
        <v>26</v>
      </c>
      <c r="B44" s="393"/>
      <c r="C44" s="77" t="s">
        <v>194</v>
      </c>
      <c r="D44" s="74" t="s">
        <v>190</v>
      </c>
      <c r="E44" s="85">
        <f>E13</f>
        <v>394</v>
      </c>
      <c r="F44" s="377"/>
      <c r="G44" s="52">
        <f t="shared" si="1"/>
        <v>0</v>
      </c>
      <c r="H44" s="7"/>
      <c r="I44" s="29"/>
      <c r="J44" s="29"/>
      <c r="K44" s="29"/>
      <c r="L44" s="29"/>
      <c r="M44" s="3"/>
      <c r="N44" s="29"/>
      <c r="O44" s="29"/>
    </row>
    <row r="45" spans="1:15" s="2" customFormat="1" ht="12.75" customHeight="1">
      <c r="A45" s="48">
        <v>27</v>
      </c>
      <c r="B45" s="393"/>
      <c r="C45" s="55" t="s">
        <v>201</v>
      </c>
      <c r="D45" s="50" t="s">
        <v>190</v>
      </c>
      <c r="E45" s="50">
        <f>M11</f>
        <v>197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2"/>
      <c r="C54" s="65"/>
      <c r="D54" s="66" t="s">
        <v>374</v>
      </c>
      <c r="E54" s="24"/>
    </row>
    <row r="55" spans="1:5" s="67" customFormat="1" ht="12.75">
      <c r="A55" s="11"/>
      <c r="B55" s="2"/>
      <c r="C55" s="11"/>
      <c r="D55" s="2"/>
      <c r="E55" s="24"/>
    </row>
    <row r="56" spans="1:5" s="67" customFormat="1" ht="14.25">
      <c r="A56" s="11"/>
      <c r="B56" s="2"/>
      <c r="C56" s="68"/>
      <c r="D56" s="69" t="s">
        <v>375</v>
      </c>
      <c r="E56" s="24"/>
    </row>
    <row r="57" spans="1:5" s="67" customFormat="1" ht="12.75">
      <c r="A57" s="11"/>
      <c r="B57" s="2"/>
      <c r="C57" s="11"/>
      <c r="D57" s="2"/>
      <c r="E57" s="70" t="s">
        <v>376</v>
      </c>
    </row>
    <row r="58" spans="1:5" s="67" customFormat="1" ht="14.25">
      <c r="A58" s="11"/>
      <c r="B58" s="2"/>
      <c r="C58" s="68"/>
      <c r="D58" s="69" t="s">
        <v>377</v>
      </c>
      <c r="E58" s="24"/>
    </row>
    <row r="59" spans="1:5" s="67" customFormat="1" ht="12.75">
      <c r="A59" s="11"/>
      <c r="B59" s="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98" zoomScaleNormal="98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71093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6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35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16.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302</v>
      </c>
      <c r="N8" s="48">
        <v>17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280.96</v>
      </c>
      <c r="J9" s="73">
        <v>1037.48</v>
      </c>
      <c r="K9" s="73"/>
      <c r="L9" s="47"/>
      <c r="M9" s="48" t="s">
        <v>301</v>
      </c>
      <c r="N9" s="48">
        <v>16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66.83</v>
      </c>
      <c r="J10" s="48">
        <v>197.1</v>
      </c>
      <c r="K10" s="48"/>
      <c r="L10" s="47"/>
      <c r="M10" s="74" t="s">
        <v>210</v>
      </c>
      <c r="N10" s="74">
        <v>1.2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>
        <v>405.8</v>
      </c>
      <c r="K11" s="48"/>
      <c r="L11" s="47"/>
      <c r="M11" s="48" t="s">
        <v>299</v>
      </c>
      <c r="N11" s="48">
        <v>10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>
        <v>94.5</v>
      </c>
      <c r="K12" s="48"/>
      <c r="L12" s="47"/>
      <c r="M12" s="48" t="s">
        <v>300</v>
      </c>
      <c r="N12" s="48">
        <v>5</v>
      </c>
      <c r="O12" s="48" t="s">
        <v>284</v>
      </c>
      <c r="P12" s="48"/>
    </row>
    <row r="13" spans="1:16" ht="14.25">
      <c r="A13" s="48">
        <v>1</v>
      </c>
      <c r="B13" s="393"/>
      <c r="C13" s="53" t="s">
        <v>258</v>
      </c>
      <c r="D13" s="48" t="s">
        <v>190</v>
      </c>
      <c r="E13" s="51">
        <f>428*2</f>
        <v>856</v>
      </c>
      <c r="F13" s="377"/>
      <c r="G13" s="52">
        <f aca="true" t="shared" si="0" ref="G13:G20">E13*F13</f>
        <v>0</v>
      </c>
      <c r="H13" s="7"/>
      <c r="I13" s="48"/>
      <c r="J13" s="48"/>
      <c r="K13" s="48"/>
      <c r="L13" s="47"/>
      <c r="M13" s="48" t="s">
        <v>213</v>
      </c>
      <c r="N13" s="48">
        <v>475</v>
      </c>
      <c r="O13" s="48" t="s">
        <v>175</v>
      </c>
      <c r="P13" s="48"/>
    </row>
    <row r="14" spans="1:16" ht="14.25">
      <c r="A14" s="48">
        <v>2</v>
      </c>
      <c r="B14" s="393"/>
      <c r="C14" s="53" t="s">
        <v>37</v>
      </c>
      <c r="D14" s="48" t="s">
        <v>190</v>
      </c>
      <c r="E14" s="51">
        <f>N9*2*2</f>
        <v>64</v>
      </c>
      <c r="F14" s="377"/>
      <c r="G14" s="52">
        <f t="shared" si="0"/>
        <v>0</v>
      </c>
      <c r="H14" s="7"/>
      <c r="I14" s="48"/>
      <c r="J14" s="48"/>
      <c r="K14" s="48"/>
      <c r="L14" s="47"/>
      <c r="M14" s="48" t="s">
        <v>209</v>
      </c>
      <c r="N14" s="5">
        <v>1.6</v>
      </c>
      <c r="O14" s="48" t="s">
        <v>253</v>
      </c>
      <c r="P14" s="48"/>
    </row>
    <row r="15" spans="1:16" ht="28.5">
      <c r="A15" s="48">
        <v>3</v>
      </c>
      <c r="B15" s="393"/>
      <c r="C15" s="53" t="s">
        <v>260</v>
      </c>
      <c r="D15" s="48" t="s">
        <v>386</v>
      </c>
      <c r="E15" s="51">
        <f>391*N14+37*2.5</f>
        <v>718.1</v>
      </c>
      <c r="F15" s="377"/>
      <c r="G15" s="52">
        <f t="shared" si="0"/>
        <v>0</v>
      </c>
      <c r="H15" s="7"/>
      <c r="I15" s="48"/>
      <c r="J15" s="48"/>
      <c r="K15" s="48"/>
      <c r="L15" s="75"/>
      <c r="M15" s="48" t="s">
        <v>208</v>
      </c>
      <c r="N15" s="48">
        <f>N9*N10*N12*2+N8*2*2*2</f>
        <v>328</v>
      </c>
      <c r="O15" s="48" t="s">
        <v>209</v>
      </c>
      <c r="P15" s="48"/>
    </row>
    <row r="16" spans="1:16" ht="28.5">
      <c r="A16" s="48">
        <v>4</v>
      </c>
      <c r="B16" s="393"/>
      <c r="C16" s="53" t="s">
        <v>38</v>
      </c>
      <c r="D16" s="48" t="s">
        <v>386</v>
      </c>
      <c r="E16" s="51">
        <f>N9*N10*2</f>
        <v>38.4</v>
      </c>
      <c r="F16" s="377"/>
      <c r="G16" s="52">
        <f t="shared" si="0"/>
        <v>0</v>
      </c>
      <c r="H16" s="7"/>
      <c r="I16" s="48"/>
      <c r="J16" s="48"/>
      <c r="K16" s="48"/>
      <c r="L16" s="75"/>
      <c r="M16" s="48" t="s">
        <v>212</v>
      </c>
      <c r="N16" s="48">
        <v>10</v>
      </c>
      <c r="O16" s="48" t="s">
        <v>216</v>
      </c>
      <c r="P16" s="48"/>
    </row>
    <row r="17" spans="1:14" ht="14.25">
      <c r="A17" s="48">
        <v>5</v>
      </c>
      <c r="B17" s="393"/>
      <c r="C17" s="53" t="s">
        <v>39</v>
      </c>
      <c r="D17" s="48" t="s">
        <v>190</v>
      </c>
      <c r="E17" s="51">
        <f>N9*1+P9*1</f>
        <v>16</v>
      </c>
      <c r="F17" s="377"/>
      <c r="G17" s="52">
        <f t="shared" si="0"/>
        <v>0</v>
      </c>
      <c r="H17" s="7"/>
      <c r="I17" s="76">
        <f>SUM(I9:I16)</f>
        <v>347.78999999999996</v>
      </c>
      <c r="J17" s="76">
        <f>SUM(J9:J16)</f>
        <v>1734.8799999999999</v>
      </c>
      <c r="K17" s="76">
        <f>SUM(K9:K16)</f>
        <v>0</v>
      </c>
      <c r="L17" s="48">
        <f>SUM(I17:K17)</f>
        <v>2082.67</v>
      </c>
      <c r="M17" s="48"/>
      <c r="N17" s="48"/>
    </row>
    <row r="18" spans="1:14" ht="16.5">
      <c r="A18" s="48">
        <v>6</v>
      </c>
      <c r="B18" s="393"/>
      <c r="C18" s="53" t="s">
        <v>40</v>
      </c>
      <c r="D18" s="48" t="s">
        <v>386</v>
      </c>
      <c r="E18" s="51">
        <f>N9*3.5+P9*3.5</f>
        <v>56</v>
      </c>
      <c r="F18" s="377"/>
      <c r="G18" s="52">
        <f t="shared" si="0"/>
        <v>0</v>
      </c>
      <c r="H18" s="7"/>
      <c r="I18" s="34"/>
      <c r="J18" s="34"/>
      <c r="K18" s="34"/>
      <c r="L18" s="34"/>
      <c r="M18" s="76"/>
      <c r="N18" s="76"/>
    </row>
    <row r="19" spans="1:14" ht="16.5">
      <c r="A19" s="48">
        <v>7</v>
      </c>
      <c r="B19" s="393"/>
      <c r="C19" s="53" t="s">
        <v>177</v>
      </c>
      <c r="D19" s="48" t="s">
        <v>386</v>
      </c>
      <c r="E19" s="51">
        <v>100</v>
      </c>
      <c r="F19" s="377"/>
      <c r="G19" s="52">
        <f>E19*F19</f>
        <v>0</v>
      </c>
      <c r="H19" s="7"/>
      <c r="I19" s="34"/>
      <c r="J19" s="34"/>
      <c r="K19" s="34"/>
      <c r="L19" s="34"/>
      <c r="M19" s="34"/>
      <c r="N19" s="34"/>
    </row>
    <row r="20" spans="1:14" ht="28.5">
      <c r="A20" s="48">
        <v>8</v>
      </c>
      <c r="B20" s="393"/>
      <c r="C20" s="77" t="s">
        <v>268</v>
      </c>
      <c r="D20" s="50" t="s">
        <v>385</v>
      </c>
      <c r="E20" s="51">
        <f>(E15+E16+E18+E19)*0.1</f>
        <v>91.25</v>
      </c>
      <c r="F20" s="377"/>
      <c r="G20" s="52">
        <f t="shared" si="0"/>
        <v>0</v>
      </c>
      <c r="H20" s="7"/>
      <c r="J20" s="34"/>
      <c r="K20" s="34"/>
      <c r="L20" s="34"/>
      <c r="M20" s="34"/>
      <c r="N20" s="34"/>
    </row>
    <row r="21" spans="1:14" ht="28.5">
      <c r="A21" s="496">
        <v>9</v>
      </c>
      <c r="B21" s="412"/>
      <c r="C21" s="44" t="s">
        <v>198</v>
      </c>
      <c r="D21" s="43"/>
      <c r="E21" s="43"/>
      <c r="F21" s="403"/>
      <c r="G21" s="45"/>
      <c r="H21" s="4"/>
      <c r="J21" s="34"/>
      <c r="K21" s="34"/>
      <c r="L21" s="34"/>
      <c r="M21" s="34"/>
      <c r="N21" s="34"/>
    </row>
    <row r="22" spans="1:14" ht="16.5">
      <c r="A22" s="497">
        <f>A21+1</f>
        <v>10</v>
      </c>
      <c r="B22" s="393"/>
      <c r="C22" s="49" t="s">
        <v>264</v>
      </c>
      <c r="D22" s="50" t="s">
        <v>385</v>
      </c>
      <c r="E22" s="51">
        <f>0.7*I17</f>
        <v>243.45299999999995</v>
      </c>
      <c r="F22" s="377"/>
      <c r="G22" s="52">
        <f>E22*F22</f>
        <v>0</v>
      </c>
      <c r="H22" s="7"/>
      <c r="J22" s="34"/>
      <c r="K22" s="34"/>
      <c r="L22" s="34"/>
      <c r="M22" s="34"/>
      <c r="N22" s="34"/>
    </row>
    <row r="23" spans="1:14" ht="16.5">
      <c r="A23" s="497">
        <f>A22+1</f>
        <v>11</v>
      </c>
      <c r="B23" s="393"/>
      <c r="C23" s="53" t="s">
        <v>263</v>
      </c>
      <c r="D23" s="50" t="s">
        <v>385</v>
      </c>
      <c r="E23" s="51">
        <f>0.05*I17</f>
        <v>17.389499999999998</v>
      </c>
      <c r="F23" s="377"/>
      <c r="G23" s="52">
        <f>E23*F23</f>
        <v>0</v>
      </c>
      <c r="H23" s="7"/>
      <c r="I23" s="34"/>
      <c r="J23" s="34"/>
      <c r="K23" s="34"/>
      <c r="L23" s="34"/>
      <c r="M23" s="34"/>
      <c r="N23" s="34"/>
    </row>
    <row r="24" spans="1:13" ht="16.5">
      <c r="A24" s="498">
        <f>A23+1</f>
        <v>12</v>
      </c>
      <c r="B24" s="393"/>
      <c r="C24" s="49" t="s">
        <v>265</v>
      </c>
      <c r="D24" s="50" t="s">
        <v>385</v>
      </c>
      <c r="E24" s="51">
        <f>0.25*I17</f>
        <v>86.94749999999999</v>
      </c>
      <c r="F24" s="377"/>
      <c r="G24" s="52">
        <f>E24*F24</f>
        <v>0</v>
      </c>
      <c r="H24" s="7"/>
      <c r="I24" s="34"/>
      <c r="J24" s="34"/>
      <c r="K24" s="34"/>
      <c r="L24" s="34"/>
      <c r="M24" s="34"/>
    </row>
    <row r="25" spans="1:13" ht="15" customHeight="1">
      <c r="A25" s="496">
        <v>10</v>
      </c>
      <c r="B25" s="413"/>
      <c r="C25" s="53" t="s">
        <v>202</v>
      </c>
      <c r="D25" s="48"/>
      <c r="E25" s="48"/>
      <c r="F25" s="411"/>
      <c r="G25" s="52"/>
      <c r="H25" s="4"/>
      <c r="I25" s="34"/>
      <c r="J25" s="34"/>
      <c r="K25" s="34"/>
      <c r="L25" s="34"/>
      <c r="M25" s="34"/>
    </row>
    <row r="26" spans="1:12" ht="15" customHeight="1">
      <c r="A26" s="497">
        <f>A25+1</f>
        <v>11</v>
      </c>
      <c r="B26" s="393"/>
      <c r="C26" s="49" t="s">
        <v>264</v>
      </c>
      <c r="D26" s="50" t="s">
        <v>385</v>
      </c>
      <c r="E26" s="51">
        <f>0.7*J17</f>
        <v>1214.416</v>
      </c>
      <c r="F26" s="377"/>
      <c r="G26" s="52">
        <f>E26*F26</f>
        <v>0</v>
      </c>
      <c r="H26" s="7"/>
      <c r="I26" s="34"/>
      <c r="J26" s="34"/>
      <c r="K26" s="34"/>
      <c r="L26" s="34"/>
    </row>
    <row r="27" spans="1:12" ht="16.5">
      <c r="A27" s="497">
        <f>A26+1</f>
        <v>12</v>
      </c>
      <c r="B27" s="393"/>
      <c r="C27" s="53" t="s">
        <v>263</v>
      </c>
      <c r="D27" s="50" t="s">
        <v>385</v>
      </c>
      <c r="E27" s="51">
        <f>0.05*J17</f>
        <v>86.744</v>
      </c>
      <c r="F27" s="377"/>
      <c r="G27" s="52">
        <f>E27*F27</f>
        <v>0</v>
      </c>
      <c r="H27" s="7"/>
      <c r="I27" s="34"/>
      <c r="J27" s="34"/>
      <c r="K27" s="34"/>
      <c r="L27" s="34"/>
    </row>
    <row r="28" spans="1:12" ht="16.5">
      <c r="A28" s="498">
        <f>A27+1</f>
        <v>13</v>
      </c>
      <c r="B28" s="393"/>
      <c r="C28" s="49" t="s">
        <v>265</v>
      </c>
      <c r="D28" s="50" t="s">
        <v>385</v>
      </c>
      <c r="E28" s="51">
        <f>0.25*J17</f>
        <v>433.71999999999997</v>
      </c>
      <c r="F28" s="377"/>
      <c r="G28" s="52">
        <f>E28*F28</f>
        <v>0</v>
      </c>
      <c r="H28" s="7"/>
      <c r="I28" s="34"/>
      <c r="J28" s="34"/>
      <c r="K28" s="34"/>
      <c r="L28" s="34"/>
    </row>
    <row r="29" spans="1:12" ht="15" customHeight="1">
      <c r="A29" s="496">
        <v>11</v>
      </c>
      <c r="B29" s="413"/>
      <c r="C29" s="53" t="s">
        <v>176</v>
      </c>
      <c r="D29" s="96"/>
      <c r="E29" s="96"/>
      <c r="F29" s="411"/>
      <c r="G29" s="97"/>
      <c r="H29" s="4"/>
      <c r="I29" s="34"/>
      <c r="J29" s="34"/>
      <c r="K29" s="34"/>
      <c r="L29" s="34"/>
    </row>
    <row r="30" spans="1:12" ht="15" customHeight="1">
      <c r="A30" s="497"/>
      <c r="B30" s="393"/>
      <c r="C30" s="49" t="s">
        <v>199</v>
      </c>
      <c r="D30" s="50" t="s">
        <v>385</v>
      </c>
      <c r="E30" s="51">
        <f>0.6*N15</f>
        <v>196.79999999999998</v>
      </c>
      <c r="F30" s="377"/>
      <c r="G30" s="52">
        <f aca="true" t="shared" si="1" ref="G30:G47">E30*F30</f>
        <v>0</v>
      </c>
      <c r="H30" s="7"/>
      <c r="I30" s="34"/>
      <c r="J30" s="34"/>
      <c r="K30" s="34"/>
      <c r="L30" s="34"/>
    </row>
    <row r="31" spans="1:12" ht="15" customHeight="1">
      <c r="A31" s="497"/>
      <c r="B31" s="393"/>
      <c r="C31" s="53" t="s">
        <v>266</v>
      </c>
      <c r="D31" s="50" t="s">
        <v>385</v>
      </c>
      <c r="E31" s="51">
        <f>0.05*N15</f>
        <v>16.400000000000002</v>
      </c>
      <c r="F31" s="377"/>
      <c r="G31" s="52">
        <f t="shared" si="1"/>
        <v>0</v>
      </c>
      <c r="H31" s="7"/>
      <c r="I31" s="34"/>
      <c r="J31" s="34"/>
      <c r="K31" s="34"/>
      <c r="L31" s="34"/>
    </row>
    <row r="32" spans="1:12" ht="16.5" customHeight="1">
      <c r="A32" s="498"/>
      <c r="B32" s="393"/>
      <c r="C32" s="49" t="s">
        <v>267</v>
      </c>
      <c r="D32" s="50" t="s">
        <v>385</v>
      </c>
      <c r="E32" s="51">
        <f>0.35*N15</f>
        <v>114.8</v>
      </c>
      <c r="F32" s="377"/>
      <c r="G32" s="52">
        <f t="shared" si="1"/>
        <v>0</v>
      </c>
      <c r="H32" s="7"/>
      <c r="I32" s="34"/>
      <c r="J32" s="34"/>
      <c r="K32" s="34"/>
      <c r="L32" s="34"/>
    </row>
    <row r="33" spans="1:12" ht="28.5">
      <c r="A33" s="48">
        <v>12</v>
      </c>
      <c r="B33" s="393"/>
      <c r="C33" s="80" t="s">
        <v>196</v>
      </c>
      <c r="D33" s="50" t="s">
        <v>385</v>
      </c>
      <c r="E33" s="51">
        <f>E24+E28+E32</f>
        <v>635.4675</v>
      </c>
      <c r="F33" s="377"/>
      <c r="G33" s="52">
        <f t="shared" si="1"/>
        <v>0</v>
      </c>
      <c r="H33" s="7"/>
      <c r="I33" s="34"/>
      <c r="J33" s="34"/>
      <c r="K33" s="34"/>
      <c r="L33" s="51"/>
    </row>
    <row r="34" spans="1:8" ht="16.5">
      <c r="A34" s="48">
        <v>13</v>
      </c>
      <c r="B34" s="393"/>
      <c r="C34" s="55" t="s">
        <v>197</v>
      </c>
      <c r="D34" s="50" t="s">
        <v>385</v>
      </c>
      <c r="E34" s="81">
        <f>E33</f>
        <v>635.4675</v>
      </c>
      <c r="F34" s="377"/>
      <c r="G34" s="52">
        <f t="shared" si="1"/>
        <v>0</v>
      </c>
      <c r="H34" s="7"/>
    </row>
    <row r="35" spans="1:8" ht="28.5">
      <c r="A35" s="48">
        <v>14</v>
      </c>
      <c r="B35" s="393"/>
      <c r="C35" s="80" t="s">
        <v>269</v>
      </c>
      <c r="D35" s="50" t="s">
        <v>385</v>
      </c>
      <c r="E35" s="51">
        <f>L17+N15</f>
        <v>2410.67</v>
      </c>
      <c r="F35" s="377"/>
      <c r="G35" s="52">
        <f t="shared" si="1"/>
        <v>0</v>
      </c>
      <c r="H35" s="7"/>
    </row>
    <row r="36" spans="1:8" ht="16.5">
      <c r="A36" s="48">
        <v>15</v>
      </c>
      <c r="B36" s="393"/>
      <c r="C36" s="49" t="s">
        <v>387</v>
      </c>
      <c r="D36" s="48" t="s">
        <v>386</v>
      </c>
      <c r="E36" s="48">
        <f>N13*4</f>
        <v>1900</v>
      </c>
      <c r="F36" s="377"/>
      <c r="G36" s="52">
        <f t="shared" si="1"/>
        <v>0</v>
      </c>
      <c r="H36" s="7"/>
    </row>
    <row r="37" spans="1:16" s="30" customFormat="1" ht="15" customHeight="1">
      <c r="A37" s="48">
        <v>16</v>
      </c>
      <c r="B37" s="393"/>
      <c r="C37" s="80" t="s">
        <v>42</v>
      </c>
      <c r="D37" s="50" t="s">
        <v>385</v>
      </c>
      <c r="E37" s="51">
        <f>0.1*1.1*E39</f>
        <v>52.25000000000001</v>
      </c>
      <c r="F37" s="377"/>
      <c r="G37" s="52">
        <f t="shared" si="1"/>
        <v>0</v>
      </c>
      <c r="H37" s="7"/>
      <c r="I37" s="29"/>
      <c r="J37" s="29"/>
      <c r="K37" s="29"/>
      <c r="L37" s="29"/>
      <c r="M37" s="29"/>
      <c r="N37" s="29"/>
      <c r="O37" s="29"/>
      <c r="P37" s="29"/>
    </row>
    <row r="38" spans="1:8" ht="42.75">
      <c r="A38" s="48">
        <v>17</v>
      </c>
      <c r="B38" s="393"/>
      <c r="C38" s="53" t="s">
        <v>43</v>
      </c>
      <c r="D38" s="50" t="s">
        <v>385</v>
      </c>
      <c r="E38" s="51">
        <f>E35-E37-E51-E53-33.56</f>
        <v>2027.19</v>
      </c>
      <c r="F38" s="377"/>
      <c r="G38" s="52">
        <f t="shared" si="1"/>
        <v>0</v>
      </c>
      <c r="H38" s="7"/>
    </row>
    <row r="39" spans="1:9" ht="14.25">
      <c r="A39" s="48">
        <v>18</v>
      </c>
      <c r="B39" s="393"/>
      <c r="C39" s="53" t="s">
        <v>291</v>
      </c>
      <c r="D39" s="48" t="s">
        <v>190</v>
      </c>
      <c r="E39" s="48">
        <f>N13</f>
        <v>475</v>
      </c>
      <c r="F39" s="377"/>
      <c r="G39" s="52">
        <f t="shared" si="1"/>
        <v>0</v>
      </c>
      <c r="H39" s="7"/>
      <c r="I39" s="34"/>
    </row>
    <row r="40" spans="1:9" ht="28.5">
      <c r="A40" s="48">
        <v>19</v>
      </c>
      <c r="B40" s="393"/>
      <c r="C40" s="53" t="s">
        <v>309</v>
      </c>
      <c r="D40" s="48" t="s">
        <v>191</v>
      </c>
      <c r="E40" s="48">
        <v>3</v>
      </c>
      <c r="F40" s="377"/>
      <c r="G40" s="52">
        <f t="shared" si="1"/>
        <v>0</v>
      </c>
      <c r="H40" s="7"/>
      <c r="I40" s="34"/>
    </row>
    <row r="41" spans="1:8" ht="28.5">
      <c r="A41" s="48">
        <v>20</v>
      </c>
      <c r="B41" s="393"/>
      <c r="C41" s="53" t="s">
        <v>313</v>
      </c>
      <c r="D41" s="48" t="s">
        <v>191</v>
      </c>
      <c r="E41" s="48">
        <v>7</v>
      </c>
      <c r="F41" s="377"/>
      <c r="G41" s="52">
        <f t="shared" si="1"/>
        <v>0</v>
      </c>
      <c r="H41" s="7"/>
    </row>
    <row r="42" spans="1:14" ht="14.25">
      <c r="A42" s="48">
        <v>21</v>
      </c>
      <c r="B42" s="393"/>
      <c r="C42" s="53" t="s">
        <v>200</v>
      </c>
      <c r="D42" s="48" t="s">
        <v>191</v>
      </c>
      <c r="E42" s="48">
        <f>N9</f>
        <v>16</v>
      </c>
      <c r="F42" s="377"/>
      <c r="G42" s="52">
        <f t="shared" si="1"/>
        <v>0</v>
      </c>
      <c r="H42" s="7"/>
      <c r="N42" s="34"/>
    </row>
    <row r="43" spans="1:14" ht="28.5">
      <c r="A43" s="48">
        <v>22</v>
      </c>
      <c r="B43" s="393"/>
      <c r="C43" s="53" t="s">
        <v>391</v>
      </c>
      <c r="D43" s="48" t="s">
        <v>191</v>
      </c>
      <c r="E43" s="48">
        <f>N8</f>
        <v>17</v>
      </c>
      <c r="F43" s="377"/>
      <c r="G43" s="52">
        <f>E43*F43</f>
        <v>0</v>
      </c>
      <c r="H43" s="7"/>
      <c r="N43" s="34"/>
    </row>
    <row r="44" spans="1:16" ht="28.5">
      <c r="A44" s="48">
        <v>23</v>
      </c>
      <c r="B44" s="393"/>
      <c r="C44" s="53" t="s">
        <v>390</v>
      </c>
      <c r="D44" s="48" t="s">
        <v>190</v>
      </c>
      <c r="E44" s="48">
        <f>N8*6</f>
        <v>102</v>
      </c>
      <c r="F44" s="377"/>
      <c r="G44" s="52">
        <f t="shared" si="1"/>
        <v>0</v>
      </c>
      <c r="H44" s="34"/>
      <c r="O44" s="30"/>
      <c r="P44" s="30"/>
    </row>
    <row r="45" spans="1:14" ht="14.25">
      <c r="A45" s="48">
        <v>24</v>
      </c>
      <c r="B45" s="393"/>
      <c r="C45" s="49" t="s">
        <v>192</v>
      </c>
      <c r="D45" s="48" t="s">
        <v>193</v>
      </c>
      <c r="E45" s="51">
        <f>40*N13/2000</f>
        <v>9.5</v>
      </c>
      <c r="F45" s="377"/>
      <c r="G45" s="52">
        <f t="shared" si="1"/>
        <v>0</v>
      </c>
      <c r="H45" s="34"/>
      <c r="M45" s="30"/>
      <c r="N45" s="30"/>
    </row>
    <row r="46" spans="1:14" ht="14.25">
      <c r="A46" s="48">
        <v>25</v>
      </c>
      <c r="B46" s="393"/>
      <c r="C46" s="95" t="s">
        <v>282</v>
      </c>
      <c r="D46" s="48" t="s">
        <v>190</v>
      </c>
      <c r="E46" s="51">
        <f>E17</f>
        <v>16</v>
      </c>
      <c r="F46" s="377"/>
      <c r="G46" s="52">
        <f t="shared" si="1"/>
        <v>0</v>
      </c>
      <c r="H46" s="34"/>
      <c r="M46" s="30"/>
      <c r="N46" s="30"/>
    </row>
    <row r="47" spans="1:14" ht="16.5">
      <c r="A47" s="48">
        <v>26</v>
      </c>
      <c r="B47" s="393"/>
      <c r="C47" s="95" t="s">
        <v>283</v>
      </c>
      <c r="D47" s="48" t="s">
        <v>386</v>
      </c>
      <c r="E47" s="51">
        <f>E18</f>
        <v>56</v>
      </c>
      <c r="F47" s="377"/>
      <c r="G47" s="52">
        <f t="shared" si="1"/>
        <v>0</v>
      </c>
      <c r="H47" s="7"/>
      <c r="M47" s="30"/>
      <c r="N47" s="30"/>
    </row>
    <row r="48" spans="1:16" ht="28.5">
      <c r="A48" s="48">
        <v>27</v>
      </c>
      <c r="B48" s="393"/>
      <c r="C48" s="77" t="s">
        <v>293</v>
      </c>
      <c r="D48" s="48" t="s">
        <v>195</v>
      </c>
      <c r="E48" s="82">
        <f>(E15+E16)*96/1000</f>
        <v>72.624</v>
      </c>
      <c r="F48" s="377"/>
      <c r="G48" s="52">
        <f aca="true" t="shared" si="2" ref="G48:G56">E48*F48</f>
        <v>0</v>
      </c>
      <c r="H48" s="7"/>
      <c r="O48" s="30"/>
      <c r="P48" s="30"/>
    </row>
    <row r="49" spans="1:16" s="2" customFormat="1" ht="28.5">
      <c r="A49" s="48">
        <v>28</v>
      </c>
      <c r="B49" s="393"/>
      <c r="C49" s="77" t="s">
        <v>294</v>
      </c>
      <c r="D49" s="48" t="s">
        <v>195</v>
      </c>
      <c r="E49" s="82">
        <f>E48</f>
        <v>72.624</v>
      </c>
      <c r="F49" s="377"/>
      <c r="G49" s="52">
        <f t="shared" si="2"/>
        <v>0</v>
      </c>
      <c r="H49" s="7"/>
      <c r="I49" s="29"/>
      <c r="J49" s="29"/>
      <c r="K49" s="29"/>
      <c r="L49" s="29"/>
      <c r="M49" s="29"/>
      <c r="N49" s="29"/>
      <c r="O49" s="29"/>
      <c r="P49" s="29"/>
    </row>
    <row r="50" spans="1:16" s="30" customFormat="1" ht="28.5">
      <c r="A50" s="48">
        <v>29</v>
      </c>
      <c r="B50" s="393"/>
      <c r="C50" s="53" t="s">
        <v>30</v>
      </c>
      <c r="D50" s="83" t="s">
        <v>195</v>
      </c>
      <c r="E50" s="51">
        <f>(E15+E16)*0.12*2.4</f>
        <v>217.87199999999999</v>
      </c>
      <c r="F50" s="377"/>
      <c r="G50" s="52">
        <f t="shared" si="2"/>
        <v>0</v>
      </c>
      <c r="H50" s="7"/>
      <c r="I50" s="29"/>
      <c r="J50" s="29"/>
      <c r="K50" s="29"/>
      <c r="L50" s="29"/>
      <c r="M50" s="29"/>
      <c r="N50" s="29"/>
      <c r="O50" s="29"/>
      <c r="P50" s="29"/>
    </row>
    <row r="51" spans="1:14" ht="28.5">
      <c r="A51" s="48">
        <v>30</v>
      </c>
      <c r="B51" s="393"/>
      <c r="C51" s="53" t="s">
        <v>31</v>
      </c>
      <c r="D51" s="83" t="s">
        <v>385</v>
      </c>
      <c r="E51" s="85">
        <v>273.79</v>
      </c>
      <c r="F51" s="377"/>
      <c r="G51" s="52">
        <f t="shared" si="2"/>
        <v>0</v>
      </c>
      <c r="H51" s="7"/>
      <c r="N51" s="3"/>
    </row>
    <row r="52" spans="1:16" ht="28.5">
      <c r="A52" s="48">
        <v>31</v>
      </c>
      <c r="B52" s="393"/>
      <c r="C52" s="77" t="s">
        <v>20</v>
      </c>
      <c r="D52" s="48" t="s">
        <v>195</v>
      </c>
      <c r="E52" s="82">
        <v>8.64</v>
      </c>
      <c r="F52" s="377"/>
      <c r="G52" s="52">
        <f t="shared" si="2"/>
        <v>0</v>
      </c>
      <c r="H52" s="7"/>
      <c r="N52" s="30"/>
      <c r="O52" s="3"/>
      <c r="P52" s="6"/>
    </row>
    <row r="53" spans="1:16" s="2" customFormat="1" ht="28.5">
      <c r="A53" s="48">
        <v>32</v>
      </c>
      <c r="B53" s="393"/>
      <c r="C53" s="53" t="s">
        <v>21</v>
      </c>
      <c r="D53" s="83" t="s">
        <v>385</v>
      </c>
      <c r="E53" s="84">
        <v>23.88</v>
      </c>
      <c r="F53" s="377"/>
      <c r="G53" s="52">
        <f t="shared" si="2"/>
        <v>0</v>
      </c>
      <c r="H53" s="7"/>
      <c r="I53" s="29"/>
      <c r="J53" s="29"/>
      <c r="K53" s="29"/>
      <c r="L53" s="29"/>
      <c r="M53" s="29"/>
      <c r="N53" s="29"/>
      <c r="O53" s="29"/>
      <c r="P53" s="29"/>
    </row>
    <row r="54" spans="1:8" ht="16.5">
      <c r="A54" s="48">
        <v>33</v>
      </c>
      <c r="B54" s="393"/>
      <c r="C54" s="53" t="s">
        <v>180</v>
      </c>
      <c r="D54" s="48" t="s">
        <v>386</v>
      </c>
      <c r="E54" s="84">
        <f>E19</f>
        <v>100</v>
      </c>
      <c r="F54" s="377"/>
      <c r="G54" s="52">
        <f>E54*F54</f>
        <v>0</v>
      </c>
      <c r="H54" s="7"/>
    </row>
    <row r="55" spans="1:16" s="2" customFormat="1" ht="14.25">
      <c r="A55" s="48">
        <v>34</v>
      </c>
      <c r="B55" s="393"/>
      <c r="C55" s="77" t="s">
        <v>194</v>
      </c>
      <c r="D55" s="74" t="s">
        <v>190</v>
      </c>
      <c r="E55" s="85">
        <f>E13+E14</f>
        <v>920</v>
      </c>
      <c r="F55" s="377"/>
      <c r="G55" s="52">
        <f t="shared" si="2"/>
        <v>0</v>
      </c>
      <c r="H55" s="7"/>
      <c r="I55" s="29"/>
      <c r="J55" s="29"/>
      <c r="K55" s="29"/>
      <c r="L55" s="29"/>
      <c r="M55" s="29"/>
      <c r="N55" s="30"/>
      <c r="O55" s="30"/>
      <c r="P55" s="30"/>
    </row>
    <row r="56" spans="1:16" s="2" customFormat="1" ht="14.25">
      <c r="A56" s="48">
        <v>35</v>
      </c>
      <c r="B56" s="393"/>
      <c r="C56" s="55" t="s">
        <v>201</v>
      </c>
      <c r="D56" s="50" t="s">
        <v>190</v>
      </c>
      <c r="E56" s="50">
        <f>N13</f>
        <v>475</v>
      </c>
      <c r="F56" s="377"/>
      <c r="G56" s="52">
        <f t="shared" si="2"/>
        <v>0</v>
      </c>
      <c r="H56" s="7"/>
      <c r="I56" s="29"/>
      <c r="J56" s="29"/>
      <c r="K56" s="29"/>
      <c r="L56" s="29"/>
      <c r="M56" s="29"/>
      <c r="N56" s="3"/>
      <c r="O56" s="29"/>
      <c r="P56" s="29"/>
    </row>
    <row r="57" spans="5:7" ht="15">
      <c r="E57" s="57"/>
      <c r="F57" s="58" t="s">
        <v>364</v>
      </c>
      <c r="G57" s="59">
        <f>SUM(G13:G56)</f>
        <v>0</v>
      </c>
    </row>
    <row r="58" spans="5:7" ht="15">
      <c r="E58" s="484" t="s">
        <v>206</v>
      </c>
      <c r="F58" s="484"/>
      <c r="G58" s="59">
        <f>G57*0.2</f>
        <v>0</v>
      </c>
    </row>
    <row r="59" spans="3:7" ht="15" customHeight="1">
      <c r="C59" s="26"/>
      <c r="E59" s="57"/>
      <c r="F59" s="60" t="s">
        <v>365</v>
      </c>
      <c r="G59" s="59">
        <f>SUM(G57:G58)</f>
        <v>0</v>
      </c>
    </row>
    <row r="60" spans="3:5" ht="14.25">
      <c r="C60" s="61"/>
      <c r="D60" s="62"/>
      <c r="E60" s="62"/>
    </row>
    <row r="61" spans="2:16" ht="18.75">
      <c r="B61" s="63" t="s">
        <v>370</v>
      </c>
      <c r="C61" s="64" t="s">
        <v>371</v>
      </c>
      <c r="D61" s="62"/>
      <c r="E61" s="62"/>
      <c r="H61" s="28"/>
      <c r="I61" s="28"/>
      <c r="J61" s="28"/>
      <c r="K61" s="28"/>
      <c r="L61" s="28"/>
      <c r="M61" s="28"/>
      <c r="N61" s="28"/>
      <c r="O61" s="28"/>
      <c r="P61" s="28"/>
    </row>
    <row r="62" spans="8:16" ht="14.25">
      <c r="H62" s="28"/>
      <c r="I62" s="28"/>
      <c r="J62" s="28"/>
      <c r="K62" s="28"/>
      <c r="L62" s="28"/>
      <c r="M62" s="28"/>
      <c r="N62" s="28"/>
      <c r="O62" s="28"/>
      <c r="P62" s="28"/>
    </row>
    <row r="63" spans="8:16" ht="15" customHeight="1">
      <c r="H63" s="28"/>
      <c r="I63" s="28"/>
      <c r="J63" s="28"/>
      <c r="K63" s="28"/>
      <c r="L63" s="28"/>
      <c r="M63" s="28"/>
      <c r="N63" s="28"/>
      <c r="O63" s="28"/>
      <c r="P63" s="28"/>
    </row>
    <row r="64" spans="8:16" ht="14.25">
      <c r="H64" s="28"/>
      <c r="I64" s="28"/>
      <c r="J64" s="28"/>
      <c r="K64" s="28"/>
      <c r="L64" s="28"/>
      <c r="M64" s="28"/>
      <c r="N64" s="28"/>
      <c r="O64" s="28"/>
      <c r="P64" s="28"/>
    </row>
    <row r="65" spans="1:5" s="67" customFormat="1" ht="15">
      <c r="A65" s="65" t="s">
        <v>373</v>
      </c>
      <c r="B65" s="2"/>
      <c r="C65" s="65"/>
      <c r="D65" s="66" t="s">
        <v>374</v>
      </c>
      <c r="E65" s="24"/>
    </row>
    <row r="66" spans="1:5" s="67" customFormat="1" ht="12.75">
      <c r="A66" s="11"/>
      <c r="B66" s="2"/>
      <c r="C66" s="11"/>
      <c r="D66" s="2"/>
      <c r="E66" s="24"/>
    </row>
    <row r="67" spans="1:5" s="67" customFormat="1" ht="14.25">
      <c r="A67" s="11"/>
      <c r="B67" s="2"/>
      <c r="C67" s="68"/>
      <c r="D67" s="69" t="s">
        <v>375</v>
      </c>
      <c r="E67" s="24"/>
    </row>
    <row r="68" spans="1:5" s="67" customFormat="1" ht="12.75">
      <c r="A68" s="11"/>
      <c r="B68" s="2"/>
      <c r="C68" s="11"/>
      <c r="D68" s="2"/>
      <c r="E68" s="70" t="s">
        <v>376</v>
      </c>
    </row>
    <row r="69" spans="1:5" s="67" customFormat="1" ht="14.25">
      <c r="A69" s="11"/>
      <c r="B69" s="2"/>
      <c r="C69" s="68"/>
      <c r="D69" s="69" t="s">
        <v>377</v>
      </c>
      <c r="E69" s="24"/>
    </row>
    <row r="70" spans="1:5" s="67" customFormat="1" ht="12.75">
      <c r="A70" s="11"/>
      <c r="B70" s="2"/>
      <c r="C70" s="11"/>
      <c r="D70" s="71" t="s">
        <v>378</v>
      </c>
      <c r="E70" s="24"/>
    </row>
  </sheetData>
  <sheetProtection sheet="1" formatCells="0" formatColumns="0" formatRows="0" insertColumns="0" insertRows="0" insertHyperlinks="0" deleteColumns="0" deleteRows="0"/>
  <protectedRanges>
    <protectedRange password="CF7A" sqref="A61:E70" name="Range1"/>
    <protectedRange password="CF7A" sqref="A9:A12 C9:E12 B9:B10 B12" name="Range1_2"/>
    <protectedRange password="CF7A" sqref="F58 E57:E59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58:F58"/>
    <mergeCell ref="A29:A32"/>
    <mergeCell ref="A25:A28"/>
    <mergeCell ref="A21:A24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2362204724409449" top="0.1968503937007874" bottom="0.31496062992125984" header="0.3937007874015748" footer="0.1968503937007874"/>
  <pageSetup fitToHeight="1" fitToWidth="1" horizontalDpi="600" verticalDpi="6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54"/>
  <sheetViews>
    <sheetView zoomScale="66" zoomScaleNormal="66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21.574218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7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36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18.7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3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250.4</v>
      </c>
      <c r="J9" s="73"/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81</v>
      </c>
      <c r="J10" s="48"/>
      <c r="K10" s="48"/>
      <c r="L10" s="47"/>
      <c r="M10" s="48" t="s">
        <v>351</v>
      </c>
      <c r="N10" s="48">
        <v>2.5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8"/>
      <c r="L11" s="47"/>
      <c r="M11" s="48" t="s">
        <v>213</v>
      </c>
      <c r="N11" s="48">
        <v>72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8"/>
      <c r="L12" s="47"/>
      <c r="M12" s="48" t="s">
        <v>209</v>
      </c>
      <c r="N12" s="5">
        <v>1.6</v>
      </c>
      <c r="O12" s="48" t="s">
        <v>284</v>
      </c>
      <c r="P12" s="48"/>
    </row>
    <row r="13" spans="1:16" ht="14.25">
      <c r="A13" s="48">
        <v>1</v>
      </c>
      <c r="B13" s="357"/>
      <c r="C13" s="53" t="s">
        <v>258</v>
      </c>
      <c r="D13" s="48" t="s">
        <v>190</v>
      </c>
      <c r="E13" s="51">
        <f>N11*2</f>
        <v>144</v>
      </c>
      <c r="F13" s="377"/>
      <c r="G13" s="52">
        <f>E13*F13</f>
        <v>0</v>
      </c>
      <c r="H13" s="7"/>
      <c r="I13" s="48"/>
      <c r="J13" s="48"/>
      <c r="K13" s="48"/>
      <c r="L13" s="47"/>
      <c r="M13" s="48" t="s">
        <v>208</v>
      </c>
      <c r="N13" s="48">
        <f>N8*N9*N10*2</f>
        <v>18</v>
      </c>
      <c r="O13" s="48" t="s">
        <v>175</v>
      </c>
      <c r="P13" s="48"/>
    </row>
    <row r="14" spans="1:16" ht="14.25">
      <c r="A14" s="48">
        <v>2</v>
      </c>
      <c r="B14" s="357"/>
      <c r="C14" s="53" t="s">
        <v>37</v>
      </c>
      <c r="D14" s="48" t="s">
        <v>190</v>
      </c>
      <c r="E14" s="51">
        <f>N8*2*2</f>
        <v>12</v>
      </c>
      <c r="F14" s="377"/>
      <c r="G14" s="52">
        <f>E14*F14</f>
        <v>0</v>
      </c>
      <c r="H14" s="7"/>
      <c r="I14" s="48"/>
      <c r="J14" s="48"/>
      <c r="K14" s="48"/>
      <c r="L14" s="47"/>
      <c r="M14" s="48" t="s">
        <v>212</v>
      </c>
      <c r="N14" s="48">
        <v>2</v>
      </c>
      <c r="O14" s="48" t="s">
        <v>253</v>
      </c>
      <c r="P14" s="48"/>
    </row>
    <row r="15" spans="1:16" ht="28.5">
      <c r="A15" s="48">
        <v>3</v>
      </c>
      <c r="B15" s="357"/>
      <c r="C15" s="53" t="s">
        <v>260</v>
      </c>
      <c r="D15" s="48" t="s">
        <v>386</v>
      </c>
      <c r="E15" s="51">
        <f>N11*N12</f>
        <v>115.2</v>
      </c>
      <c r="F15" s="377"/>
      <c r="G15" s="52">
        <f>E15*F15</f>
        <v>0</v>
      </c>
      <c r="H15" s="7"/>
      <c r="I15" s="48"/>
      <c r="J15" s="48"/>
      <c r="K15" s="48"/>
      <c r="L15" s="75"/>
      <c r="M15" s="48"/>
      <c r="N15" s="48"/>
      <c r="O15" s="48" t="s">
        <v>209</v>
      </c>
      <c r="P15" s="48"/>
    </row>
    <row r="16" spans="1:16" ht="28.5">
      <c r="A16" s="48">
        <v>4</v>
      </c>
      <c r="B16" s="357"/>
      <c r="C16" s="53" t="s">
        <v>38</v>
      </c>
      <c r="D16" s="48" t="s">
        <v>386</v>
      </c>
      <c r="E16" s="51">
        <f>N8*N9*2</f>
        <v>7.199999999999999</v>
      </c>
      <c r="F16" s="377"/>
      <c r="G16" s="52">
        <f>E16*F16</f>
        <v>0</v>
      </c>
      <c r="H16" s="7"/>
      <c r="I16" s="48"/>
      <c r="J16" s="48"/>
      <c r="K16" s="48"/>
      <c r="L16" s="75"/>
      <c r="M16" s="76"/>
      <c r="N16" s="76"/>
      <c r="O16" s="48" t="s">
        <v>216</v>
      </c>
      <c r="P16" s="48"/>
    </row>
    <row r="17" spans="1:14" ht="28.5">
      <c r="A17" s="48">
        <v>5</v>
      </c>
      <c r="B17" s="357"/>
      <c r="C17" s="77" t="s">
        <v>268</v>
      </c>
      <c r="D17" s="50" t="s">
        <v>385</v>
      </c>
      <c r="E17" s="51">
        <f>(E15+E16)*0.1</f>
        <v>12.240000000000002</v>
      </c>
      <c r="F17" s="377"/>
      <c r="G17" s="52">
        <f>E17*F17</f>
        <v>0</v>
      </c>
      <c r="H17" s="7"/>
      <c r="I17" s="76">
        <f>SUM(I9:I16)</f>
        <v>331.4</v>
      </c>
      <c r="J17" s="76">
        <f>SUM(J9:J16)</f>
        <v>0</v>
      </c>
      <c r="K17" s="76">
        <f>SUM(K9:K16)</f>
        <v>0</v>
      </c>
      <c r="L17" s="48">
        <f>SUM(I17:K17)</f>
        <v>331.4</v>
      </c>
      <c r="M17" s="34"/>
      <c r="N17" s="34"/>
    </row>
    <row r="18" spans="1:14" ht="28.5">
      <c r="A18" s="496">
        <v>6</v>
      </c>
      <c r="B18" s="48"/>
      <c r="C18" s="53" t="s">
        <v>181</v>
      </c>
      <c r="D18" s="48"/>
      <c r="E18" s="48"/>
      <c r="F18" s="52"/>
      <c r="G18" s="52"/>
      <c r="H18" s="4"/>
      <c r="I18" s="34"/>
      <c r="J18" s="34"/>
      <c r="K18" s="34"/>
      <c r="L18" s="34"/>
      <c r="M18" s="34"/>
      <c r="N18" s="34"/>
    </row>
    <row r="19" spans="1:14" ht="16.5">
      <c r="A19" s="497">
        <f>A18+1</f>
        <v>7</v>
      </c>
      <c r="B19" s="357"/>
      <c r="C19" s="49" t="s">
        <v>264</v>
      </c>
      <c r="D19" s="50" t="s">
        <v>385</v>
      </c>
      <c r="E19" s="51">
        <f>0.7*I17</f>
        <v>231.97999999999996</v>
      </c>
      <c r="F19" s="377"/>
      <c r="G19" s="52">
        <f>E19*F19</f>
        <v>0</v>
      </c>
      <c r="H19" s="7"/>
      <c r="J19" s="34"/>
      <c r="K19" s="34"/>
      <c r="L19" s="34"/>
      <c r="M19" s="34"/>
      <c r="N19" s="34"/>
    </row>
    <row r="20" spans="1:13" ht="16.5">
      <c r="A20" s="497">
        <f>A19+1</f>
        <v>8</v>
      </c>
      <c r="B20" s="357"/>
      <c r="C20" s="53" t="s">
        <v>263</v>
      </c>
      <c r="D20" s="50" t="s">
        <v>385</v>
      </c>
      <c r="E20" s="51">
        <f>0.05*I17</f>
        <v>16.57</v>
      </c>
      <c r="F20" s="377"/>
      <c r="G20" s="52">
        <f>E20*F20</f>
        <v>0</v>
      </c>
      <c r="H20" s="7"/>
      <c r="I20" s="34"/>
      <c r="J20" s="34"/>
      <c r="K20" s="34"/>
      <c r="L20" s="34"/>
      <c r="M20" s="34"/>
    </row>
    <row r="21" spans="1:12" ht="16.5">
      <c r="A21" s="498">
        <f>A20+1</f>
        <v>9</v>
      </c>
      <c r="B21" s="357"/>
      <c r="C21" s="49" t="s">
        <v>265</v>
      </c>
      <c r="D21" s="50" t="s">
        <v>385</v>
      </c>
      <c r="E21" s="51">
        <f>0.25*I17</f>
        <v>82.85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2" ht="15" customHeight="1">
      <c r="A22" s="496">
        <v>7</v>
      </c>
      <c r="B22" s="48"/>
      <c r="C22" s="53" t="s">
        <v>176</v>
      </c>
      <c r="D22" s="96"/>
      <c r="E22" s="96"/>
      <c r="F22" s="52"/>
      <c r="G22" s="97"/>
      <c r="H22" s="4"/>
      <c r="I22" s="34"/>
      <c r="J22" s="34"/>
      <c r="K22" s="34"/>
      <c r="L22" s="34"/>
    </row>
    <row r="23" spans="1:12" ht="15" customHeight="1">
      <c r="A23" s="497"/>
      <c r="B23" s="357"/>
      <c r="C23" s="49" t="s">
        <v>199</v>
      </c>
      <c r="D23" s="50" t="s">
        <v>385</v>
      </c>
      <c r="E23" s="51">
        <f>0.6*N13</f>
        <v>10.799999999999999</v>
      </c>
      <c r="F23" s="377"/>
      <c r="G23" s="52">
        <f aca="true" t="shared" si="0" ref="G23:G40">E23*F23</f>
        <v>0</v>
      </c>
      <c r="H23" s="7"/>
      <c r="I23" s="34"/>
      <c r="J23" s="34"/>
      <c r="K23" s="34"/>
      <c r="L23" s="34"/>
    </row>
    <row r="24" spans="1:12" ht="15" customHeight="1">
      <c r="A24" s="497"/>
      <c r="B24" s="357"/>
      <c r="C24" s="53" t="s">
        <v>266</v>
      </c>
      <c r="D24" s="50" t="s">
        <v>385</v>
      </c>
      <c r="E24" s="51">
        <f>0.05*N13</f>
        <v>0.9</v>
      </c>
      <c r="F24" s="377"/>
      <c r="G24" s="52">
        <f t="shared" si="0"/>
        <v>0</v>
      </c>
      <c r="H24" s="7"/>
      <c r="I24" s="34"/>
      <c r="J24" s="34"/>
      <c r="K24" s="34"/>
      <c r="L24" s="34"/>
    </row>
    <row r="25" spans="1:12" ht="16.5" customHeight="1">
      <c r="A25" s="498"/>
      <c r="B25" s="357"/>
      <c r="C25" s="49" t="s">
        <v>267</v>
      </c>
      <c r="D25" s="50" t="s">
        <v>385</v>
      </c>
      <c r="E25" s="51">
        <f>0.35*N13</f>
        <v>6.3</v>
      </c>
      <c r="F25" s="377"/>
      <c r="G25" s="52">
        <f t="shared" si="0"/>
        <v>0</v>
      </c>
      <c r="H25" s="7"/>
      <c r="I25" s="34"/>
      <c r="J25" s="34"/>
      <c r="K25" s="34"/>
      <c r="L25" s="34"/>
    </row>
    <row r="26" spans="1:12" ht="28.5">
      <c r="A26" s="48">
        <v>8</v>
      </c>
      <c r="B26" s="357"/>
      <c r="C26" s="80" t="s">
        <v>196</v>
      </c>
      <c r="D26" s="50" t="s">
        <v>385</v>
      </c>
      <c r="E26" s="51">
        <f>E21+E25</f>
        <v>89.14999999999999</v>
      </c>
      <c r="F26" s="377"/>
      <c r="G26" s="52">
        <f t="shared" si="0"/>
        <v>0</v>
      </c>
      <c r="H26" s="7"/>
      <c r="I26" s="34"/>
      <c r="J26" s="34"/>
      <c r="K26" s="34"/>
      <c r="L26" s="51"/>
    </row>
    <row r="27" spans="1:8" ht="16.5">
      <c r="A27" s="48">
        <v>9</v>
      </c>
      <c r="B27" s="357"/>
      <c r="C27" s="55" t="s">
        <v>197</v>
      </c>
      <c r="D27" s="50" t="s">
        <v>385</v>
      </c>
      <c r="E27" s="81">
        <f>E26</f>
        <v>89.14999999999999</v>
      </c>
      <c r="F27" s="377"/>
      <c r="G27" s="52">
        <f t="shared" si="0"/>
        <v>0</v>
      </c>
      <c r="H27" s="7"/>
    </row>
    <row r="28" spans="1:12" ht="16.5">
      <c r="A28" s="48">
        <v>10</v>
      </c>
      <c r="B28" s="357"/>
      <c r="C28" s="80" t="s">
        <v>72</v>
      </c>
      <c r="D28" s="50" t="s">
        <v>385</v>
      </c>
      <c r="E28" s="51">
        <f>L17+N13</f>
        <v>349.4</v>
      </c>
      <c r="F28" s="377"/>
      <c r="G28" s="52">
        <f t="shared" si="0"/>
        <v>0</v>
      </c>
      <c r="H28" s="7"/>
      <c r="I28" s="30"/>
      <c r="J28" s="30"/>
      <c r="K28" s="30"/>
      <c r="L28" s="30"/>
    </row>
    <row r="29" spans="1:8" ht="16.5">
      <c r="A29" s="48">
        <v>11</v>
      </c>
      <c r="B29" s="357"/>
      <c r="C29" s="49" t="s">
        <v>387</v>
      </c>
      <c r="D29" s="48" t="s">
        <v>386</v>
      </c>
      <c r="E29" s="48">
        <f>N11*4</f>
        <v>288</v>
      </c>
      <c r="F29" s="377"/>
      <c r="G29" s="52">
        <f t="shared" si="0"/>
        <v>0</v>
      </c>
      <c r="H29" s="7"/>
    </row>
    <row r="30" spans="1:16" s="30" customFormat="1" ht="15" customHeight="1">
      <c r="A30" s="48">
        <v>12</v>
      </c>
      <c r="B30" s="357"/>
      <c r="C30" s="80" t="s">
        <v>42</v>
      </c>
      <c r="D30" s="50" t="s">
        <v>385</v>
      </c>
      <c r="E30" s="51">
        <f>0.1*1.1*E32</f>
        <v>7.920000000000001</v>
      </c>
      <c r="F30" s="377"/>
      <c r="G30" s="52">
        <f t="shared" si="0"/>
        <v>0</v>
      </c>
      <c r="H30" s="7"/>
      <c r="I30" s="29"/>
      <c r="J30" s="29"/>
      <c r="K30" s="29"/>
      <c r="L30" s="29"/>
      <c r="M30" s="29"/>
      <c r="O30" s="29"/>
      <c r="P30" s="29"/>
    </row>
    <row r="31" spans="1:8" ht="42.75">
      <c r="A31" s="48">
        <v>13</v>
      </c>
      <c r="B31" s="357"/>
      <c r="C31" s="53" t="s">
        <v>43</v>
      </c>
      <c r="D31" s="50" t="s">
        <v>385</v>
      </c>
      <c r="E31" s="51">
        <f>E28-E30-E38-5.09</f>
        <v>291.03</v>
      </c>
      <c r="F31" s="377"/>
      <c r="G31" s="52">
        <f t="shared" si="0"/>
        <v>0</v>
      </c>
      <c r="H31" s="7"/>
    </row>
    <row r="32" spans="1:8" ht="14.25">
      <c r="A32" s="48">
        <v>14</v>
      </c>
      <c r="B32" s="357"/>
      <c r="C32" s="53" t="s">
        <v>291</v>
      </c>
      <c r="D32" s="48" t="s">
        <v>190</v>
      </c>
      <c r="E32" s="48">
        <f>N11</f>
        <v>72</v>
      </c>
      <c r="F32" s="377"/>
      <c r="G32" s="52">
        <f t="shared" si="0"/>
        <v>0</v>
      </c>
      <c r="H32" s="7"/>
    </row>
    <row r="33" spans="1:9" ht="28.5">
      <c r="A33" s="48">
        <v>15</v>
      </c>
      <c r="B33" s="357"/>
      <c r="C33" s="53" t="s">
        <v>309</v>
      </c>
      <c r="D33" s="48" t="s">
        <v>191</v>
      </c>
      <c r="E33" s="48">
        <v>2</v>
      </c>
      <c r="F33" s="377"/>
      <c r="G33" s="52">
        <f t="shared" si="0"/>
        <v>0</v>
      </c>
      <c r="H33" s="7"/>
      <c r="I33" s="34"/>
    </row>
    <row r="34" spans="1:14" ht="14.25">
      <c r="A34" s="48">
        <v>16</v>
      </c>
      <c r="B34" s="357"/>
      <c r="C34" s="53" t="s">
        <v>200</v>
      </c>
      <c r="D34" s="48" t="s">
        <v>191</v>
      </c>
      <c r="E34" s="48">
        <f>N8</f>
        <v>3</v>
      </c>
      <c r="F34" s="377"/>
      <c r="G34" s="52">
        <f t="shared" si="0"/>
        <v>0</v>
      </c>
      <c r="H34" s="7"/>
      <c r="N34" s="34"/>
    </row>
    <row r="35" spans="1:8" ht="14.25">
      <c r="A35" s="48">
        <v>17</v>
      </c>
      <c r="B35" s="357"/>
      <c r="C35" s="49" t="s">
        <v>192</v>
      </c>
      <c r="D35" s="48" t="s">
        <v>193</v>
      </c>
      <c r="E35" s="51">
        <f>40*N11/2000</f>
        <v>1.44</v>
      </c>
      <c r="F35" s="377"/>
      <c r="G35" s="52">
        <f t="shared" si="0"/>
        <v>0</v>
      </c>
      <c r="H35" s="7"/>
    </row>
    <row r="36" spans="1:14" ht="28.5">
      <c r="A36" s="48">
        <v>18</v>
      </c>
      <c r="B36" s="357"/>
      <c r="C36" s="77" t="s">
        <v>293</v>
      </c>
      <c r="D36" s="48" t="s">
        <v>195</v>
      </c>
      <c r="E36" s="82">
        <f>(E15+E16)*96/1000</f>
        <v>11.7504</v>
      </c>
      <c r="F36" s="377"/>
      <c r="G36" s="52">
        <f t="shared" si="0"/>
        <v>0</v>
      </c>
      <c r="H36" s="34"/>
      <c r="M36" s="30"/>
      <c r="N36" s="30"/>
    </row>
    <row r="37" spans="1:8" ht="28.5">
      <c r="A37" s="48">
        <v>19</v>
      </c>
      <c r="B37" s="357"/>
      <c r="C37" s="53" t="s">
        <v>295</v>
      </c>
      <c r="D37" s="83" t="s">
        <v>195</v>
      </c>
      <c r="E37" s="51">
        <f>(E15+E16)*0.06*2.4</f>
        <v>17.6256</v>
      </c>
      <c r="F37" s="377"/>
      <c r="G37" s="52">
        <f t="shared" si="0"/>
        <v>0</v>
      </c>
      <c r="H37" s="7"/>
    </row>
    <row r="38" spans="1:16" s="2" customFormat="1" ht="28.5">
      <c r="A38" s="48">
        <v>20</v>
      </c>
      <c r="B38" s="357"/>
      <c r="C38" s="53" t="s">
        <v>21</v>
      </c>
      <c r="D38" s="83" t="s">
        <v>385</v>
      </c>
      <c r="E38" s="85">
        <v>45.36</v>
      </c>
      <c r="F38" s="377"/>
      <c r="G38" s="52">
        <f t="shared" si="0"/>
        <v>0</v>
      </c>
      <c r="H38" s="7"/>
      <c r="I38" s="29"/>
      <c r="J38" s="29"/>
      <c r="K38" s="29"/>
      <c r="L38" s="29"/>
      <c r="M38" s="29"/>
      <c r="N38" s="29"/>
      <c r="O38" s="30"/>
      <c r="P38" s="30"/>
    </row>
    <row r="39" spans="1:16" ht="14.25">
      <c r="A39" s="48">
        <v>21</v>
      </c>
      <c r="B39" s="357"/>
      <c r="C39" s="77" t="s">
        <v>194</v>
      </c>
      <c r="D39" s="74" t="s">
        <v>190</v>
      </c>
      <c r="E39" s="85">
        <f>E13+E14</f>
        <v>156</v>
      </c>
      <c r="F39" s="377"/>
      <c r="G39" s="52">
        <f t="shared" si="0"/>
        <v>0</v>
      </c>
      <c r="H39" s="7"/>
      <c r="M39" s="30"/>
      <c r="P39" s="2"/>
    </row>
    <row r="40" spans="1:16" s="2" customFormat="1" ht="14.25">
      <c r="A40" s="48">
        <v>22</v>
      </c>
      <c r="B40" s="357"/>
      <c r="C40" s="55" t="s">
        <v>201</v>
      </c>
      <c r="D40" s="50" t="s">
        <v>190</v>
      </c>
      <c r="E40" s="50">
        <f>N11</f>
        <v>72</v>
      </c>
      <c r="F40" s="377"/>
      <c r="G40" s="52">
        <f t="shared" si="0"/>
        <v>0</v>
      </c>
      <c r="H40" s="7"/>
      <c r="I40" s="29"/>
      <c r="J40" s="29"/>
      <c r="K40" s="29"/>
      <c r="L40" s="29"/>
      <c r="M40" s="29"/>
      <c r="N40" s="29"/>
      <c r="O40" s="29"/>
      <c r="P40" s="29"/>
    </row>
    <row r="41" spans="5:7" ht="15">
      <c r="E41" s="57"/>
      <c r="F41" s="58" t="s">
        <v>364</v>
      </c>
      <c r="G41" s="59">
        <f>SUM(G13:G40)</f>
        <v>0</v>
      </c>
    </row>
    <row r="42" spans="5:7" ht="15">
      <c r="E42" s="484" t="s">
        <v>206</v>
      </c>
      <c r="F42" s="484"/>
      <c r="G42" s="59">
        <f>G41*0.2</f>
        <v>0</v>
      </c>
    </row>
    <row r="43" spans="3:7" ht="15" customHeight="1">
      <c r="C43" s="26"/>
      <c r="E43" s="57"/>
      <c r="F43" s="60" t="s">
        <v>365</v>
      </c>
      <c r="G43" s="59">
        <f>SUM(G41:G42)</f>
        <v>0</v>
      </c>
    </row>
    <row r="44" spans="3:5" ht="14.25">
      <c r="C44" s="61"/>
      <c r="D44" s="62"/>
      <c r="E44" s="62"/>
    </row>
    <row r="45" spans="2:16" ht="18.75">
      <c r="B45" s="63" t="s">
        <v>370</v>
      </c>
      <c r="C45" s="64" t="s">
        <v>371</v>
      </c>
      <c r="D45" s="62"/>
      <c r="E45" s="62"/>
      <c r="H45" s="28"/>
      <c r="I45" s="28"/>
      <c r="J45" s="28"/>
      <c r="K45" s="28"/>
      <c r="L45" s="28"/>
      <c r="M45" s="28"/>
      <c r="N45" s="28"/>
      <c r="O45" s="28"/>
      <c r="P45" s="28"/>
    </row>
    <row r="46" spans="8:16" ht="14.25">
      <c r="H46" s="28"/>
      <c r="I46" s="28"/>
      <c r="J46" s="28"/>
      <c r="K46" s="28"/>
      <c r="L46" s="28"/>
      <c r="M46" s="28"/>
      <c r="N46" s="28"/>
      <c r="O46" s="28"/>
      <c r="P46" s="28"/>
    </row>
    <row r="47" spans="8:16" ht="15" customHeight="1">
      <c r="H47" s="28"/>
      <c r="I47" s="28"/>
      <c r="J47" s="28"/>
      <c r="K47" s="28"/>
      <c r="L47" s="28"/>
      <c r="M47" s="28"/>
      <c r="N47" s="28"/>
      <c r="O47" s="28"/>
      <c r="P47" s="28"/>
    </row>
    <row r="48" spans="8:16" ht="14.25">
      <c r="H48" s="28"/>
      <c r="I48" s="28"/>
      <c r="J48" s="28"/>
      <c r="K48" s="28"/>
      <c r="L48" s="28"/>
      <c r="M48" s="28"/>
      <c r="N48" s="28"/>
      <c r="O48" s="28"/>
      <c r="P48" s="28"/>
    </row>
    <row r="49" spans="1:5" s="67" customFormat="1" ht="15">
      <c r="A49" s="65" t="s">
        <v>373</v>
      </c>
      <c r="B49" s="2"/>
      <c r="C49" s="65"/>
      <c r="D49" s="66" t="s">
        <v>374</v>
      </c>
      <c r="E49" s="24"/>
    </row>
    <row r="50" spans="1:5" s="67" customFormat="1" ht="12.75">
      <c r="A50" s="11"/>
      <c r="B50" s="2"/>
      <c r="C50" s="11"/>
      <c r="D50" s="2"/>
      <c r="E50" s="24"/>
    </row>
    <row r="51" spans="1:5" s="67" customFormat="1" ht="14.25">
      <c r="A51" s="11"/>
      <c r="B51" s="2"/>
      <c r="C51" s="68"/>
      <c r="D51" s="69" t="s">
        <v>375</v>
      </c>
      <c r="E51" s="24"/>
    </row>
    <row r="52" spans="1:5" s="67" customFormat="1" ht="12.75">
      <c r="A52" s="11"/>
      <c r="B52" s="2"/>
      <c r="C52" s="11"/>
      <c r="D52" s="2"/>
      <c r="E52" s="70" t="s">
        <v>376</v>
      </c>
    </row>
    <row r="53" spans="1:5" s="67" customFormat="1" ht="14.25">
      <c r="A53" s="11"/>
      <c r="B53" s="2"/>
      <c r="C53" s="68"/>
      <c r="D53" s="69" t="s">
        <v>377</v>
      </c>
      <c r="E53" s="24"/>
    </row>
    <row r="54" spans="1:5" s="67" customFormat="1" ht="12.75">
      <c r="A54" s="11"/>
      <c r="B54" s="2"/>
      <c r="C54" s="11"/>
      <c r="D54" s="71" t="s">
        <v>378</v>
      </c>
      <c r="E54" s="24"/>
    </row>
  </sheetData>
  <sheetProtection sheet="1" formatCells="0" formatColumns="0" formatRows="0" insertColumns="0" insertRows="0" insertHyperlinks="0" deleteColumns="0" deleteRows="0"/>
  <protectedRanges>
    <protectedRange password="CF7A" sqref="A45:E54" name="Range1"/>
    <protectedRange password="CF7A" sqref="A9:A12 C9:E12 B9:B10 B12" name="Range1_2"/>
    <protectedRange password="CF7A" sqref="F42 E41:E43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2:F42"/>
    <mergeCell ref="A22:A25"/>
    <mergeCell ref="A18:A21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1811023622047245" top="0.4330708661417323" bottom="0.5118110236220472" header="0.3937007874015748" footer="0.3937007874015748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59" zoomScaleNormal="59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8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37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17.2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6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141.22</v>
      </c>
      <c r="J9" s="73"/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33.08</v>
      </c>
      <c r="J10" s="48"/>
      <c r="K10" s="48"/>
      <c r="L10" s="47"/>
      <c r="M10" s="48" t="s">
        <v>351</v>
      </c>
      <c r="N10" s="48">
        <v>5.5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115.88</v>
      </c>
      <c r="J11" s="48"/>
      <c r="K11" s="48"/>
      <c r="L11" s="47"/>
      <c r="M11" s="48" t="s">
        <v>213</v>
      </c>
      <c r="N11" s="48">
        <v>146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33.08</v>
      </c>
      <c r="J12" s="48"/>
      <c r="K12" s="48"/>
      <c r="L12" s="47"/>
      <c r="M12" s="48" t="s">
        <v>209</v>
      </c>
      <c r="N12" s="5">
        <v>1.6</v>
      </c>
      <c r="O12" s="48" t="s">
        <v>284</v>
      </c>
      <c r="P12" s="48"/>
    </row>
    <row r="13" spans="1:16" ht="14.25">
      <c r="A13" s="48">
        <v>1</v>
      </c>
      <c r="B13" s="393"/>
      <c r="C13" s="53" t="s">
        <v>258</v>
      </c>
      <c r="D13" s="48" t="s">
        <v>190</v>
      </c>
      <c r="E13" s="51">
        <f>N11*2</f>
        <v>292</v>
      </c>
      <c r="F13" s="377"/>
      <c r="G13" s="52">
        <f aca="true" t="shared" si="0" ref="G13:G19">E13*F13</f>
        <v>0</v>
      </c>
      <c r="H13" s="7"/>
      <c r="I13" s="48">
        <v>123.55</v>
      </c>
      <c r="J13" s="48"/>
      <c r="K13" s="48"/>
      <c r="L13" s="47"/>
      <c r="M13" s="48" t="s">
        <v>208</v>
      </c>
      <c r="N13" s="48">
        <f>N8*N9*N10*2</f>
        <v>79.19999999999999</v>
      </c>
      <c r="O13" s="48" t="s">
        <v>175</v>
      </c>
      <c r="P13" s="48"/>
    </row>
    <row r="14" spans="1:16" ht="14.25">
      <c r="A14" s="48">
        <v>2</v>
      </c>
      <c r="B14" s="393"/>
      <c r="C14" s="53" t="s">
        <v>37</v>
      </c>
      <c r="D14" s="48" t="s">
        <v>190</v>
      </c>
      <c r="E14" s="51">
        <f>N8*3.5*2</f>
        <v>42</v>
      </c>
      <c r="F14" s="377"/>
      <c r="G14" s="52">
        <f t="shared" si="0"/>
        <v>0</v>
      </c>
      <c r="H14" s="7"/>
      <c r="I14" s="48">
        <v>32.4</v>
      </c>
      <c r="J14" s="48"/>
      <c r="K14" s="48"/>
      <c r="L14" s="47"/>
      <c r="M14" s="48" t="s">
        <v>212</v>
      </c>
      <c r="N14" s="48">
        <v>3</v>
      </c>
      <c r="O14" s="48" t="s">
        <v>253</v>
      </c>
      <c r="P14" s="48"/>
    </row>
    <row r="15" spans="1:16" ht="28.5">
      <c r="A15" s="48">
        <v>3</v>
      </c>
      <c r="B15" s="393"/>
      <c r="C15" s="53" t="s">
        <v>260</v>
      </c>
      <c r="D15" s="48" t="s">
        <v>386</v>
      </c>
      <c r="E15" s="51">
        <f>N11*N12</f>
        <v>233.60000000000002</v>
      </c>
      <c r="F15" s="377"/>
      <c r="G15" s="52">
        <f t="shared" si="0"/>
        <v>0</v>
      </c>
      <c r="H15" s="7"/>
      <c r="I15" s="48"/>
      <c r="J15" s="48"/>
      <c r="K15" s="48"/>
      <c r="L15" s="75"/>
      <c r="M15" s="48"/>
      <c r="N15" s="48"/>
      <c r="O15" s="48" t="s">
        <v>209</v>
      </c>
      <c r="P15" s="48"/>
    </row>
    <row r="16" spans="1:16" ht="28.5">
      <c r="A16" s="48">
        <v>4</v>
      </c>
      <c r="B16" s="393"/>
      <c r="C16" s="53" t="s">
        <v>38</v>
      </c>
      <c r="D16" s="48" t="s">
        <v>386</v>
      </c>
      <c r="E16" s="51">
        <f>N8*N9*3.5</f>
        <v>25.199999999999996</v>
      </c>
      <c r="F16" s="377"/>
      <c r="G16" s="52">
        <f t="shared" si="0"/>
        <v>0</v>
      </c>
      <c r="H16" s="7"/>
      <c r="I16" s="76">
        <f>SUM(I9:I15)</f>
        <v>479.21</v>
      </c>
      <c r="J16" s="76">
        <f>SUM(J9:J15)</f>
        <v>0</v>
      </c>
      <c r="K16" s="76">
        <f>SUM(K9:K15)</f>
        <v>0</v>
      </c>
      <c r="L16" s="48">
        <f>SUM(I16:K16)</f>
        <v>479.21</v>
      </c>
      <c r="M16" s="76"/>
      <c r="N16" s="76"/>
      <c r="O16" s="48" t="s">
        <v>216</v>
      </c>
      <c r="P16" s="48"/>
    </row>
    <row r="17" spans="1:14" ht="14.25">
      <c r="A17" s="48">
        <v>5</v>
      </c>
      <c r="B17" s="393"/>
      <c r="C17" s="53" t="s">
        <v>39</v>
      </c>
      <c r="D17" s="48" t="s">
        <v>190</v>
      </c>
      <c r="E17" s="51">
        <f>N8*1</f>
        <v>6</v>
      </c>
      <c r="F17" s="377"/>
      <c r="G17" s="52">
        <f t="shared" si="0"/>
        <v>0</v>
      </c>
      <c r="H17" s="7"/>
      <c r="I17" s="34"/>
      <c r="J17" s="34"/>
      <c r="K17" s="34"/>
      <c r="L17" s="34"/>
      <c r="M17" s="34"/>
      <c r="N17" s="34"/>
    </row>
    <row r="18" spans="1:14" ht="16.5">
      <c r="A18" s="48">
        <v>6</v>
      </c>
      <c r="B18" s="393"/>
      <c r="C18" s="53" t="s">
        <v>40</v>
      </c>
      <c r="D18" s="48" t="s">
        <v>386</v>
      </c>
      <c r="E18" s="51">
        <f>N8*2</f>
        <v>12</v>
      </c>
      <c r="F18" s="377"/>
      <c r="G18" s="52">
        <f t="shared" si="0"/>
        <v>0</v>
      </c>
      <c r="H18" s="7"/>
      <c r="I18" s="34"/>
      <c r="J18" s="34"/>
      <c r="K18" s="34"/>
      <c r="L18" s="34"/>
      <c r="M18" s="34"/>
      <c r="N18" s="34"/>
    </row>
    <row r="19" spans="1:14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27.080000000000002</v>
      </c>
      <c r="F19" s="377"/>
      <c r="G19" s="52">
        <f t="shared" si="0"/>
        <v>0</v>
      </c>
      <c r="H19" s="7"/>
      <c r="J19" s="34"/>
      <c r="K19" s="34"/>
      <c r="L19" s="34"/>
      <c r="M19" s="34"/>
      <c r="N19" s="34"/>
    </row>
    <row r="20" spans="1:13" ht="28.5">
      <c r="A20" s="496">
        <v>8</v>
      </c>
      <c r="B20" s="412"/>
      <c r="C20" s="44" t="s">
        <v>198</v>
      </c>
      <c r="D20" s="43"/>
      <c r="E20" s="43"/>
      <c r="F20" s="402"/>
      <c r="G20" s="45"/>
      <c r="H20" s="7"/>
      <c r="J20" s="34"/>
      <c r="K20" s="34"/>
      <c r="L20" s="34"/>
      <c r="M20" s="34"/>
    </row>
    <row r="21" spans="1:13" ht="16.5">
      <c r="A21" s="497">
        <f>A20+1</f>
        <v>9</v>
      </c>
      <c r="B21" s="393"/>
      <c r="C21" s="49" t="s">
        <v>264</v>
      </c>
      <c r="D21" s="50" t="s">
        <v>385</v>
      </c>
      <c r="E21" s="51">
        <f>0.7*I16</f>
        <v>335.44699999999995</v>
      </c>
      <c r="F21" s="377"/>
      <c r="G21" s="52">
        <f>E21*F21</f>
        <v>0</v>
      </c>
      <c r="H21" s="7"/>
      <c r="I21" s="34"/>
      <c r="J21" s="34"/>
      <c r="K21" s="34"/>
      <c r="L21" s="34"/>
      <c r="M21" s="34"/>
    </row>
    <row r="22" spans="1:12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0.05*I16</f>
        <v>23.9605</v>
      </c>
      <c r="F22" s="377"/>
      <c r="G22" s="52">
        <f>E22*F22</f>
        <v>0</v>
      </c>
      <c r="H22" s="7"/>
      <c r="I22" s="34"/>
      <c r="J22" s="34"/>
      <c r="K22" s="34"/>
      <c r="L22" s="34"/>
    </row>
    <row r="23" spans="1:12" ht="15" customHeight="1">
      <c r="A23" s="498">
        <f>A22+1</f>
        <v>11</v>
      </c>
      <c r="B23" s="393"/>
      <c r="C23" s="49" t="s">
        <v>265</v>
      </c>
      <c r="D23" s="50" t="s">
        <v>385</v>
      </c>
      <c r="E23" s="51">
        <f>0.25*I16</f>
        <v>119.8025</v>
      </c>
      <c r="F23" s="377"/>
      <c r="G23" s="52">
        <f>E23*F23</f>
        <v>0</v>
      </c>
      <c r="H23" s="7"/>
      <c r="I23" s="34"/>
      <c r="J23" s="34"/>
      <c r="K23" s="34"/>
      <c r="L23" s="34"/>
    </row>
    <row r="24" spans="1:12" ht="15" customHeight="1">
      <c r="A24" s="496">
        <v>9</v>
      </c>
      <c r="B24" s="413"/>
      <c r="C24" s="53" t="s">
        <v>176</v>
      </c>
      <c r="D24" s="96"/>
      <c r="E24" s="96"/>
      <c r="F24" s="410"/>
      <c r="G24" s="97"/>
      <c r="H24" s="7"/>
      <c r="I24" s="34"/>
      <c r="J24" s="34"/>
      <c r="K24" s="34"/>
      <c r="L24" s="34"/>
    </row>
    <row r="25" spans="1:12" ht="15" customHeight="1">
      <c r="A25" s="497"/>
      <c r="B25" s="393"/>
      <c r="C25" s="49" t="s">
        <v>199</v>
      </c>
      <c r="D25" s="50" t="s">
        <v>385</v>
      </c>
      <c r="E25" s="51">
        <f>0.6*N13</f>
        <v>47.51999999999999</v>
      </c>
      <c r="F25" s="377"/>
      <c r="G25" s="52">
        <f aca="true" t="shared" si="1" ref="G25:G45">E25*F25</f>
        <v>0</v>
      </c>
      <c r="H25" s="7"/>
      <c r="I25" s="34"/>
      <c r="J25" s="34"/>
      <c r="K25" s="34"/>
      <c r="L25" s="34"/>
    </row>
    <row r="26" spans="1:12" ht="16.5" customHeight="1">
      <c r="A26" s="497"/>
      <c r="B26" s="393"/>
      <c r="C26" s="53" t="s">
        <v>266</v>
      </c>
      <c r="D26" s="50" t="s">
        <v>385</v>
      </c>
      <c r="E26" s="51">
        <f>0.05*N13</f>
        <v>3.9599999999999995</v>
      </c>
      <c r="F26" s="377"/>
      <c r="G26" s="52">
        <f t="shared" si="1"/>
        <v>0</v>
      </c>
      <c r="H26" s="7"/>
      <c r="I26" s="34"/>
      <c r="J26" s="34"/>
      <c r="K26" s="34"/>
      <c r="L26" s="34"/>
    </row>
    <row r="27" spans="1:12" ht="15" customHeight="1">
      <c r="A27" s="498"/>
      <c r="B27" s="393"/>
      <c r="C27" s="49" t="s">
        <v>267</v>
      </c>
      <c r="D27" s="50" t="s">
        <v>385</v>
      </c>
      <c r="E27" s="51">
        <f>0.35*N13</f>
        <v>27.719999999999995</v>
      </c>
      <c r="F27" s="377"/>
      <c r="G27" s="52">
        <f t="shared" si="1"/>
        <v>0</v>
      </c>
      <c r="H27" s="7"/>
      <c r="I27" s="34"/>
      <c r="J27" s="34"/>
      <c r="K27" s="34"/>
      <c r="L27" s="51"/>
    </row>
    <row r="28" spans="1:8" ht="28.5">
      <c r="A28" s="48">
        <v>10</v>
      </c>
      <c r="B28" s="393"/>
      <c r="C28" s="80" t="s">
        <v>196</v>
      </c>
      <c r="D28" s="50" t="s">
        <v>385</v>
      </c>
      <c r="E28" s="51">
        <f>E23+E27</f>
        <v>147.52249999999998</v>
      </c>
      <c r="F28" s="377"/>
      <c r="G28" s="52">
        <f t="shared" si="1"/>
        <v>0</v>
      </c>
      <c r="H28" s="7"/>
    </row>
    <row r="29" spans="1:8" ht="16.5">
      <c r="A29" s="48">
        <v>11</v>
      </c>
      <c r="B29" s="393"/>
      <c r="C29" s="55" t="s">
        <v>197</v>
      </c>
      <c r="D29" s="50" t="s">
        <v>385</v>
      </c>
      <c r="E29" s="81">
        <f>E28</f>
        <v>147.52249999999998</v>
      </c>
      <c r="F29" s="377"/>
      <c r="G29" s="52">
        <f t="shared" si="1"/>
        <v>0</v>
      </c>
      <c r="H29" s="7"/>
    </row>
    <row r="30" spans="1:8" ht="28.5">
      <c r="A30" s="48">
        <v>12</v>
      </c>
      <c r="B30" s="393"/>
      <c r="C30" s="80" t="s">
        <v>269</v>
      </c>
      <c r="D30" s="50" t="s">
        <v>385</v>
      </c>
      <c r="E30" s="51">
        <f>L16+N13</f>
        <v>558.41</v>
      </c>
      <c r="F30" s="377"/>
      <c r="G30" s="52">
        <f t="shared" si="1"/>
        <v>0</v>
      </c>
      <c r="H30" s="7"/>
    </row>
    <row r="31" spans="1:16" s="30" customFormat="1" ht="16.5">
      <c r="A31" s="48">
        <v>13</v>
      </c>
      <c r="B31" s="393"/>
      <c r="C31" s="49" t="s">
        <v>387</v>
      </c>
      <c r="D31" s="48" t="s">
        <v>386</v>
      </c>
      <c r="E31" s="48">
        <f>N11*4</f>
        <v>584</v>
      </c>
      <c r="F31" s="377"/>
      <c r="G31" s="52">
        <f t="shared" si="1"/>
        <v>0</v>
      </c>
      <c r="H31" s="7"/>
      <c r="I31" s="29"/>
      <c r="J31" s="29"/>
      <c r="K31" s="29"/>
      <c r="L31" s="29"/>
      <c r="M31" s="29"/>
      <c r="O31" s="29"/>
      <c r="P31" s="29"/>
    </row>
    <row r="32" spans="1:8" ht="15" customHeight="1">
      <c r="A32" s="48">
        <v>14</v>
      </c>
      <c r="B32" s="393"/>
      <c r="C32" s="80" t="s">
        <v>42</v>
      </c>
      <c r="D32" s="50" t="s">
        <v>385</v>
      </c>
      <c r="E32" s="51">
        <f>0.1*1.1*N11</f>
        <v>16.060000000000002</v>
      </c>
      <c r="F32" s="377"/>
      <c r="G32" s="52">
        <f t="shared" si="1"/>
        <v>0</v>
      </c>
      <c r="H32" s="7"/>
    </row>
    <row r="33" spans="1:8" ht="30" customHeight="1">
      <c r="A33" s="48">
        <v>15</v>
      </c>
      <c r="B33" s="393"/>
      <c r="C33" s="53" t="s">
        <v>43</v>
      </c>
      <c r="D33" s="50" t="s">
        <v>385</v>
      </c>
      <c r="E33" s="51">
        <f>E30-E32-E43-10.32</f>
        <v>427.44999999999993</v>
      </c>
      <c r="F33" s="377"/>
      <c r="G33" s="52">
        <f t="shared" si="1"/>
        <v>0</v>
      </c>
      <c r="H33" s="7"/>
    </row>
    <row r="34" spans="1:9" ht="14.25">
      <c r="A34" s="48">
        <v>16</v>
      </c>
      <c r="B34" s="393"/>
      <c r="C34" s="53" t="s">
        <v>291</v>
      </c>
      <c r="D34" s="48" t="s">
        <v>190</v>
      </c>
      <c r="E34" s="48">
        <f>N11</f>
        <v>146</v>
      </c>
      <c r="F34" s="377"/>
      <c r="G34" s="52">
        <f t="shared" si="1"/>
        <v>0</v>
      </c>
      <c r="H34" s="7"/>
      <c r="I34" s="34"/>
    </row>
    <row r="35" spans="1:14" ht="28.5">
      <c r="A35" s="48">
        <v>17</v>
      </c>
      <c r="B35" s="393"/>
      <c r="C35" s="53" t="s">
        <v>309</v>
      </c>
      <c r="D35" s="48" t="s">
        <v>191</v>
      </c>
      <c r="E35" s="48">
        <v>2</v>
      </c>
      <c r="F35" s="377"/>
      <c r="G35" s="52">
        <f t="shared" si="1"/>
        <v>0</v>
      </c>
      <c r="H35" s="7"/>
      <c r="N35" s="34"/>
    </row>
    <row r="36" spans="1:8" ht="28.5">
      <c r="A36" s="48">
        <v>18</v>
      </c>
      <c r="B36" s="393"/>
      <c r="C36" s="53" t="s">
        <v>313</v>
      </c>
      <c r="D36" s="48" t="s">
        <v>191</v>
      </c>
      <c r="E36" s="48">
        <v>1</v>
      </c>
      <c r="F36" s="377"/>
      <c r="G36" s="52">
        <f t="shared" si="1"/>
        <v>0</v>
      </c>
      <c r="H36" s="7"/>
    </row>
    <row r="37" spans="1:14" ht="14.25">
      <c r="A37" s="48">
        <v>19</v>
      </c>
      <c r="B37" s="393"/>
      <c r="C37" s="53" t="s">
        <v>200</v>
      </c>
      <c r="D37" s="48" t="s">
        <v>191</v>
      </c>
      <c r="E37" s="48">
        <f>N8</f>
        <v>6</v>
      </c>
      <c r="F37" s="377"/>
      <c r="G37" s="52">
        <f t="shared" si="1"/>
        <v>0</v>
      </c>
      <c r="H37" s="7"/>
      <c r="M37" s="30"/>
      <c r="N37" s="30"/>
    </row>
    <row r="38" spans="1:16" ht="14.25">
      <c r="A38" s="48">
        <v>20</v>
      </c>
      <c r="B38" s="393"/>
      <c r="C38" s="49" t="s">
        <v>192</v>
      </c>
      <c r="D38" s="48" t="s">
        <v>193</v>
      </c>
      <c r="E38" s="51">
        <f>40*N11/2000</f>
        <v>2.92</v>
      </c>
      <c r="F38" s="377"/>
      <c r="G38" s="52">
        <f t="shared" si="1"/>
        <v>0</v>
      </c>
      <c r="H38" s="34"/>
      <c r="M38" s="30"/>
      <c r="N38" s="30"/>
      <c r="O38" s="30"/>
      <c r="P38" s="30"/>
    </row>
    <row r="39" spans="1:8" ht="14.25">
      <c r="A39" s="48">
        <v>21</v>
      </c>
      <c r="B39" s="393"/>
      <c r="C39" s="95" t="s">
        <v>282</v>
      </c>
      <c r="D39" s="48" t="s">
        <v>190</v>
      </c>
      <c r="E39" s="51">
        <f>E17</f>
        <v>6</v>
      </c>
      <c r="F39" s="377"/>
      <c r="G39" s="52">
        <f t="shared" si="1"/>
        <v>0</v>
      </c>
      <c r="H39" s="7"/>
    </row>
    <row r="40" spans="1:16" ht="16.5">
      <c r="A40" s="48">
        <v>22</v>
      </c>
      <c r="B40" s="393"/>
      <c r="C40" s="95" t="s">
        <v>283</v>
      </c>
      <c r="D40" s="48" t="s">
        <v>386</v>
      </c>
      <c r="E40" s="51">
        <f>E18</f>
        <v>12</v>
      </c>
      <c r="F40" s="377"/>
      <c r="G40" s="52">
        <f t="shared" si="1"/>
        <v>0</v>
      </c>
      <c r="H40" s="7"/>
      <c r="O40" s="30"/>
      <c r="P40" s="30"/>
    </row>
    <row r="41" spans="1:16" s="2" customFormat="1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24.844800000000003</v>
      </c>
      <c r="F41" s="377"/>
      <c r="G41" s="52">
        <f t="shared" si="1"/>
        <v>0</v>
      </c>
      <c r="H41" s="7"/>
      <c r="I41" s="29"/>
      <c r="J41" s="29"/>
      <c r="K41" s="29"/>
      <c r="L41" s="29"/>
      <c r="M41" s="29"/>
      <c r="N41" s="3"/>
      <c r="O41" s="29"/>
      <c r="P41" s="29"/>
    </row>
    <row r="42" spans="1:16" s="2" customFormat="1" ht="28.5">
      <c r="A42" s="48">
        <v>24</v>
      </c>
      <c r="B42" s="393"/>
      <c r="C42" s="77" t="s">
        <v>20</v>
      </c>
      <c r="D42" s="48" t="s">
        <v>195</v>
      </c>
      <c r="E42" s="82">
        <f>(E15+E16)*0.06*2.4</f>
        <v>37.2672</v>
      </c>
      <c r="F42" s="377"/>
      <c r="G42" s="52">
        <f t="shared" si="1"/>
        <v>0</v>
      </c>
      <c r="H42" s="7"/>
      <c r="I42" s="29"/>
      <c r="J42" s="29"/>
      <c r="K42" s="29"/>
      <c r="L42" s="29"/>
      <c r="M42" s="29"/>
      <c r="N42" s="30"/>
      <c r="O42" s="29"/>
      <c r="P42" s="29"/>
    </row>
    <row r="43" spans="1:14" ht="28.5">
      <c r="A43" s="48">
        <v>25</v>
      </c>
      <c r="B43" s="393"/>
      <c r="C43" s="53" t="s">
        <v>21</v>
      </c>
      <c r="D43" s="83" t="s">
        <v>385</v>
      </c>
      <c r="E43" s="84">
        <v>104.58</v>
      </c>
      <c r="F43" s="377"/>
      <c r="G43" s="52">
        <f t="shared" si="1"/>
        <v>0</v>
      </c>
      <c r="H43" s="7"/>
      <c r="N43" s="3"/>
    </row>
    <row r="44" spans="1:16" s="2" customFormat="1" ht="14.25">
      <c r="A44" s="48">
        <v>26</v>
      </c>
      <c r="B44" s="393"/>
      <c r="C44" s="77" t="s">
        <v>194</v>
      </c>
      <c r="D44" s="74" t="s">
        <v>190</v>
      </c>
      <c r="E44" s="85">
        <f>E13</f>
        <v>292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"/>
      <c r="O44" s="30"/>
      <c r="P44" s="30"/>
    </row>
    <row r="45" spans="1:16" s="2" customFormat="1" ht="12.75" customHeight="1">
      <c r="A45" s="48">
        <v>27</v>
      </c>
      <c r="B45" s="393"/>
      <c r="C45" s="55" t="s">
        <v>201</v>
      </c>
      <c r="D45" s="50" t="s">
        <v>190</v>
      </c>
      <c r="E45" s="50">
        <f>N11</f>
        <v>146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29"/>
      <c r="P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2"/>
      <c r="C54" s="65"/>
      <c r="D54" s="66" t="s">
        <v>374</v>
      </c>
      <c r="E54" s="24"/>
    </row>
    <row r="55" spans="1:5" s="67" customFormat="1" ht="12.75">
      <c r="A55" s="11"/>
      <c r="B55" s="2"/>
      <c r="C55" s="11"/>
      <c r="D55" s="2"/>
      <c r="E55" s="24"/>
    </row>
    <row r="56" spans="1:5" s="67" customFormat="1" ht="14.25">
      <c r="A56" s="11"/>
      <c r="B56" s="2"/>
      <c r="C56" s="68"/>
      <c r="D56" s="69" t="s">
        <v>375</v>
      </c>
      <c r="E56" s="24"/>
    </row>
    <row r="57" spans="1:5" s="67" customFormat="1" ht="12.75">
      <c r="A57" s="11"/>
      <c r="B57" s="2"/>
      <c r="C57" s="11"/>
      <c r="D57" s="2"/>
      <c r="E57" s="70" t="s">
        <v>376</v>
      </c>
    </row>
    <row r="58" spans="1:5" s="67" customFormat="1" ht="14.25">
      <c r="A58" s="11"/>
      <c r="B58" s="2"/>
      <c r="C58" s="68"/>
      <c r="D58" s="69" t="s">
        <v>377</v>
      </c>
      <c r="E58" s="24"/>
    </row>
    <row r="59" spans="1:5" s="67" customFormat="1" ht="12.75">
      <c r="A59" s="11"/>
      <c r="B59" s="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1811023622047245" top="0.4330708661417323" bottom="0.5118110236220472" header="0.3937007874015748" footer="0.3937007874015748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selection activeCell="C3" sqref="C3:G3"/>
    </sheetView>
  </sheetViews>
  <sheetFormatPr defaultColWidth="9.140625" defaultRowHeight="12.75"/>
  <cols>
    <col min="1" max="1" width="8.140625" style="29" customWidth="1"/>
    <col min="2" max="2" width="17.421875" style="29" customWidth="1"/>
    <col min="3" max="3" width="58.7109375" style="29" customWidth="1"/>
    <col min="4" max="4" width="7.8515625" style="29" customWidth="1"/>
    <col min="5" max="5" width="12.00390625" style="29" customWidth="1"/>
    <col min="6" max="6" width="10.28125" style="29" customWidth="1"/>
    <col min="7" max="7" width="15.57421875" style="29" customWidth="1"/>
    <col min="8" max="8" width="9.140625" style="29" customWidth="1"/>
    <col min="9" max="17" width="9.140625" style="106" customWidth="1"/>
    <col min="18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32.25" customHeight="1">
      <c r="A5" s="441"/>
      <c r="B5" s="442" t="s">
        <v>562</v>
      </c>
      <c r="C5" s="492" t="s">
        <v>566</v>
      </c>
      <c r="D5" s="492"/>
      <c r="E5" s="492"/>
      <c r="F5" s="492"/>
      <c r="G5" s="492"/>
      <c r="H5" s="436"/>
    </row>
    <row r="6" spans="1:17" ht="20.25" customHeight="1">
      <c r="A6" s="486" t="s">
        <v>379</v>
      </c>
      <c r="B6" s="486"/>
      <c r="C6" s="486"/>
      <c r="D6" s="486"/>
      <c r="E6" s="487"/>
      <c r="F6" s="495">
        <v>2</v>
      </c>
      <c r="G6" s="26"/>
      <c r="H6" s="27"/>
      <c r="I6" s="27"/>
      <c r="J6" s="27"/>
      <c r="K6" s="27"/>
      <c r="L6" s="28"/>
      <c r="M6" s="28"/>
      <c r="N6" s="28"/>
      <c r="O6" s="28"/>
      <c r="P6" s="28"/>
      <c r="Q6" s="29"/>
    </row>
    <row r="7" spans="1:17" ht="15" customHeight="1">
      <c r="A7" s="486"/>
      <c r="B7" s="486"/>
      <c r="C7" s="486"/>
      <c r="D7" s="486"/>
      <c r="E7" s="487"/>
      <c r="F7" s="495"/>
      <c r="G7" s="30"/>
      <c r="H7" s="31"/>
      <c r="I7" s="31"/>
      <c r="J7" s="31"/>
      <c r="K7" s="31"/>
      <c r="L7" s="28"/>
      <c r="M7" s="28"/>
      <c r="N7" s="28"/>
      <c r="O7" s="28"/>
      <c r="P7" s="28"/>
      <c r="Q7" s="29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3</v>
      </c>
      <c r="N8" s="48" t="s">
        <v>286</v>
      </c>
      <c r="O8" s="48"/>
    </row>
    <row r="9" spans="1:17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147.4</v>
      </c>
      <c r="J9" s="73"/>
      <c r="K9" s="47"/>
      <c r="L9" s="74" t="s">
        <v>210</v>
      </c>
      <c r="M9" s="74">
        <v>1.2</v>
      </c>
      <c r="N9" s="48" t="s">
        <v>287</v>
      </c>
      <c r="O9" s="48"/>
      <c r="P9" s="29"/>
      <c r="Q9" s="29"/>
    </row>
    <row r="10" spans="1:17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45.23</v>
      </c>
      <c r="J10" s="48"/>
      <c r="K10" s="47"/>
      <c r="L10" s="48" t="s">
        <v>207</v>
      </c>
      <c r="M10" s="48">
        <v>5</v>
      </c>
      <c r="N10" s="48" t="s">
        <v>288</v>
      </c>
      <c r="O10" s="48"/>
      <c r="P10" s="29"/>
      <c r="Q10" s="29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178.92</v>
      </c>
      <c r="J11" s="48"/>
      <c r="K11" s="47"/>
      <c r="L11" s="48" t="s">
        <v>213</v>
      </c>
      <c r="M11" s="48">
        <v>138</v>
      </c>
      <c r="N11" s="74" t="s">
        <v>252</v>
      </c>
      <c r="O11" s="74"/>
      <c r="P11" s="15"/>
      <c r="Q11" s="15"/>
      <c r="R11" s="15"/>
    </row>
    <row r="12" spans="1:17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51.48</v>
      </c>
      <c r="J12" s="48"/>
      <c r="K12" s="47"/>
      <c r="L12" s="48" t="s">
        <v>209</v>
      </c>
      <c r="M12" s="5">
        <v>1.65</v>
      </c>
      <c r="N12" s="48" t="s">
        <v>284</v>
      </c>
      <c r="O12" s="48"/>
      <c r="P12" s="29"/>
      <c r="Q12" s="29"/>
    </row>
    <row r="13" spans="1:17" ht="14.25">
      <c r="A13" s="48">
        <v>1</v>
      </c>
      <c r="B13" s="357"/>
      <c r="C13" s="53" t="s">
        <v>258</v>
      </c>
      <c r="D13" s="48" t="s">
        <v>190</v>
      </c>
      <c r="E13" s="51">
        <f>M11*2</f>
        <v>276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36</v>
      </c>
      <c r="N13" s="48" t="s">
        <v>285</v>
      </c>
      <c r="O13" s="48"/>
      <c r="P13" s="29"/>
      <c r="Q13" s="29"/>
    </row>
    <row r="14" spans="1:17" ht="14.25">
      <c r="A14" s="48">
        <v>2</v>
      </c>
      <c r="B14" s="357"/>
      <c r="C14" s="53" t="s">
        <v>37</v>
      </c>
      <c r="D14" s="48" t="s">
        <v>190</v>
      </c>
      <c r="E14" s="51">
        <f>M8*3.5*2+O8*O12*2</f>
        <v>21</v>
      </c>
      <c r="F14" s="377"/>
      <c r="G14" s="52">
        <f t="shared" si="0"/>
        <v>0</v>
      </c>
      <c r="H14" s="7"/>
      <c r="I14" s="48"/>
      <c r="J14" s="48"/>
      <c r="K14" s="47"/>
      <c r="L14" s="48" t="s">
        <v>212</v>
      </c>
      <c r="M14" s="48">
        <v>4</v>
      </c>
      <c r="N14" s="48" t="s">
        <v>253</v>
      </c>
      <c r="O14" s="48"/>
      <c r="P14" s="29"/>
      <c r="Q14" s="29"/>
    </row>
    <row r="15" spans="1:17" ht="28.5">
      <c r="A15" s="48">
        <v>3</v>
      </c>
      <c r="B15" s="357"/>
      <c r="C15" s="53" t="s">
        <v>260</v>
      </c>
      <c r="D15" s="48" t="s">
        <v>386</v>
      </c>
      <c r="E15" s="51">
        <f>M11*M12</f>
        <v>227.7</v>
      </c>
      <c r="F15" s="377"/>
      <c r="G15" s="52">
        <f t="shared" si="0"/>
        <v>0</v>
      </c>
      <c r="H15" s="7"/>
      <c r="I15" s="48"/>
      <c r="J15" s="48"/>
      <c r="K15" s="75"/>
      <c r="L15" s="48"/>
      <c r="M15" s="48"/>
      <c r="N15" s="48" t="s">
        <v>209</v>
      </c>
      <c r="O15" s="48"/>
      <c r="P15" s="29"/>
      <c r="Q15" s="29"/>
    </row>
    <row r="16" spans="1:17" ht="28.5">
      <c r="A16" s="48">
        <v>4</v>
      </c>
      <c r="B16" s="357"/>
      <c r="C16" s="53" t="s">
        <v>38</v>
      </c>
      <c r="D16" s="48" t="s">
        <v>386</v>
      </c>
      <c r="E16" s="51">
        <f>M8*3.5*M9+O8*O12*O11</f>
        <v>12.6</v>
      </c>
      <c r="F16" s="377"/>
      <c r="G16" s="52">
        <f t="shared" si="0"/>
        <v>0</v>
      </c>
      <c r="H16" s="7"/>
      <c r="I16" s="48"/>
      <c r="J16" s="48"/>
      <c r="K16" s="75"/>
      <c r="L16" s="76"/>
      <c r="M16" s="76"/>
      <c r="N16" s="48" t="s">
        <v>216</v>
      </c>
      <c r="O16" s="48"/>
      <c r="P16" s="29"/>
      <c r="Q16" s="29"/>
    </row>
    <row r="17" spans="1:17" ht="14.25">
      <c r="A17" s="48">
        <v>5</v>
      </c>
      <c r="B17" s="357"/>
      <c r="C17" s="53" t="s">
        <v>39</v>
      </c>
      <c r="D17" s="48" t="s">
        <v>190</v>
      </c>
      <c r="E17" s="51">
        <f>M8*1+O10*1</f>
        <v>3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  <c r="N17" s="29"/>
      <c r="O17" s="29"/>
      <c r="P17" s="29"/>
      <c r="Q17" s="29"/>
    </row>
    <row r="18" spans="1:17" ht="16.5">
      <c r="A18" s="48">
        <v>6</v>
      </c>
      <c r="B18" s="357"/>
      <c r="C18" s="53" t="s">
        <v>40</v>
      </c>
      <c r="D18" s="48" t="s">
        <v>386</v>
      </c>
      <c r="E18" s="51">
        <f>M8*1.5+O10*1.5</f>
        <v>4.5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  <c r="N18" s="29"/>
      <c r="O18" s="29"/>
      <c r="P18" s="29"/>
      <c r="Q18" s="29"/>
    </row>
    <row r="19" spans="1:17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24.48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  <c r="N19" s="29"/>
      <c r="O19" s="29"/>
      <c r="P19" s="29"/>
      <c r="Q19" s="29"/>
    </row>
    <row r="20" spans="1:17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  <c r="N20" s="29"/>
      <c r="O20" s="29"/>
      <c r="P20" s="29"/>
      <c r="Q20" s="29"/>
    </row>
    <row r="21" spans="1:17" ht="15" customHeight="1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296.121</v>
      </c>
      <c r="F21" s="377"/>
      <c r="G21" s="52">
        <f>E21*F21</f>
        <v>0</v>
      </c>
      <c r="H21" s="7"/>
      <c r="I21" s="48"/>
      <c r="J21" s="48"/>
      <c r="K21" s="75"/>
      <c r="L21" s="34"/>
      <c r="M21" s="29"/>
      <c r="N21" s="29"/>
      <c r="O21" s="29"/>
      <c r="P21" s="29"/>
      <c r="Q21" s="29"/>
    </row>
    <row r="22" spans="1:17" ht="15" customHeight="1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21.1515</v>
      </c>
      <c r="F22" s="377"/>
      <c r="G22" s="52">
        <f>E22*F22</f>
        <v>0</v>
      </c>
      <c r="H22" s="7"/>
      <c r="I22" s="76">
        <f>SUM(I9:I21)</f>
        <v>423.03</v>
      </c>
      <c r="J22" s="76">
        <f>SUM(J9:J21)</f>
        <v>0</v>
      </c>
      <c r="K22" s="48">
        <f>SUM(I22:J22)</f>
        <v>423.03</v>
      </c>
      <c r="L22" s="34"/>
      <c r="M22" s="29"/>
      <c r="N22" s="29"/>
      <c r="O22" s="29"/>
      <c r="P22" s="29"/>
      <c r="Q22" s="29"/>
    </row>
    <row r="23" spans="1:17" ht="15" customHeight="1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105.7575</v>
      </c>
      <c r="F23" s="377"/>
      <c r="G23" s="52">
        <f>E23*F23</f>
        <v>0</v>
      </c>
      <c r="H23" s="7"/>
      <c r="I23" s="34"/>
      <c r="J23" s="34"/>
      <c r="K23" s="34"/>
      <c r="L23" s="29"/>
      <c r="M23" s="29"/>
      <c r="N23" s="29"/>
      <c r="O23" s="29"/>
      <c r="P23" s="29"/>
      <c r="Q23" s="29"/>
    </row>
    <row r="24" spans="1:17" ht="28.5">
      <c r="A24" s="496">
        <v>9</v>
      </c>
      <c r="B24" s="43"/>
      <c r="C24" s="44" t="s">
        <v>244</v>
      </c>
      <c r="D24" s="78"/>
      <c r="E24" s="78"/>
      <c r="F24" s="45"/>
      <c r="G24" s="79"/>
      <c r="H24" s="7"/>
      <c r="I24" s="34"/>
      <c r="J24" s="34"/>
      <c r="K24" s="34"/>
      <c r="L24" s="29"/>
      <c r="M24" s="29"/>
      <c r="N24" s="29"/>
      <c r="O24" s="29"/>
      <c r="P24" s="29"/>
      <c r="Q24" s="29"/>
    </row>
    <row r="25" spans="1:17" ht="15" customHeight="1">
      <c r="A25" s="497"/>
      <c r="B25" s="357"/>
      <c r="C25" s="49" t="s">
        <v>199</v>
      </c>
      <c r="D25" s="50" t="s">
        <v>385</v>
      </c>
      <c r="E25" s="51">
        <f>0.6*M13</f>
        <v>21.599999999999998</v>
      </c>
      <c r="F25" s="377"/>
      <c r="G25" s="52">
        <f aca="true" t="shared" si="1" ref="G25:G46">E25*F25</f>
        <v>0</v>
      </c>
      <c r="H25" s="7"/>
      <c r="I25" s="34"/>
      <c r="J25" s="34"/>
      <c r="K25" s="34"/>
      <c r="L25" s="29"/>
      <c r="M25" s="29"/>
      <c r="N25" s="29"/>
      <c r="O25" s="29"/>
      <c r="P25" s="29"/>
      <c r="Q25" s="29"/>
    </row>
    <row r="26" spans="1:17" ht="16.5">
      <c r="A26" s="497"/>
      <c r="B26" s="357"/>
      <c r="C26" s="53" t="s">
        <v>266</v>
      </c>
      <c r="D26" s="50" t="s">
        <v>385</v>
      </c>
      <c r="E26" s="51">
        <f>0.05*M13</f>
        <v>1.8</v>
      </c>
      <c r="F26" s="377"/>
      <c r="G26" s="52">
        <f t="shared" si="1"/>
        <v>0</v>
      </c>
      <c r="H26" s="7"/>
      <c r="I26" s="34"/>
      <c r="J26" s="34"/>
      <c r="K26" s="34"/>
      <c r="L26" s="29"/>
      <c r="M26" s="29"/>
      <c r="N26" s="29"/>
      <c r="O26" s="29"/>
      <c r="P26" s="29"/>
      <c r="Q26" s="29"/>
    </row>
    <row r="27" spans="1:17" ht="16.5">
      <c r="A27" s="498"/>
      <c r="B27" s="357"/>
      <c r="C27" s="49" t="s">
        <v>267</v>
      </c>
      <c r="D27" s="50" t="s">
        <v>385</v>
      </c>
      <c r="E27" s="51">
        <f>0.35*M13</f>
        <v>12.6</v>
      </c>
      <c r="F27" s="377"/>
      <c r="G27" s="52">
        <f t="shared" si="1"/>
        <v>0</v>
      </c>
      <c r="H27" s="7"/>
      <c r="I27" s="34"/>
      <c r="J27" s="34"/>
      <c r="K27" s="34"/>
      <c r="L27" s="29"/>
      <c r="M27" s="29"/>
      <c r="N27" s="29"/>
      <c r="O27" s="29"/>
      <c r="P27" s="29"/>
      <c r="Q27" s="29"/>
    </row>
    <row r="28" spans="1:17" ht="28.5">
      <c r="A28" s="48">
        <v>10</v>
      </c>
      <c r="B28" s="357"/>
      <c r="C28" s="80" t="s">
        <v>196</v>
      </c>
      <c r="D28" s="50" t="s">
        <v>385</v>
      </c>
      <c r="E28" s="51">
        <f>E23+E27</f>
        <v>118.35749999999999</v>
      </c>
      <c r="F28" s="377"/>
      <c r="G28" s="52">
        <f t="shared" si="1"/>
        <v>0</v>
      </c>
      <c r="H28" s="7"/>
      <c r="I28" s="34"/>
      <c r="J28" s="34"/>
      <c r="K28" s="34"/>
      <c r="L28" s="29"/>
      <c r="M28" s="29"/>
      <c r="N28" s="29"/>
      <c r="O28" s="29"/>
      <c r="P28" s="29"/>
      <c r="Q28" s="29"/>
    </row>
    <row r="29" spans="1:17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118.35749999999999</v>
      </c>
      <c r="F29" s="377"/>
      <c r="G29" s="52">
        <f t="shared" si="1"/>
        <v>0</v>
      </c>
      <c r="H29" s="7"/>
      <c r="I29" s="34"/>
      <c r="J29" s="34"/>
      <c r="K29" s="34"/>
      <c r="L29" s="29"/>
      <c r="M29" s="29"/>
      <c r="N29" s="29"/>
      <c r="O29" s="29"/>
      <c r="P29" s="29"/>
      <c r="Q29" s="29"/>
    </row>
    <row r="30" spans="1:17" ht="28.5">
      <c r="A30" s="48">
        <v>12</v>
      </c>
      <c r="B30" s="357"/>
      <c r="C30" s="80" t="s">
        <v>72</v>
      </c>
      <c r="D30" s="50" t="s">
        <v>385</v>
      </c>
      <c r="E30" s="51">
        <f>K22+M13</f>
        <v>459.03</v>
      </c>
      <c r="F30" s="377"/>
      <c r="G30" s="52">
        <f t="shared" si="1"/>
        <v>0</v>
      </c>
      <c r="H30" s="7"/>
      <c r="I30" s="34"/>
      <c r="J30" s="34"/>
      <c r="K30" s="34"/>
      <c r="L30" s="29"/>
      <c r="M30" s="29"/>
      <c r="N30" s="29"/>
      <c r="O30" s="29"/>
      <c r="P30" s="29"/>
      <c r="Q30" s="29"/>
    </row>
    <row r="31" spans="1:17" ht="16.5">
      <c r="A31" s="48">
        <v>13</v>
      </c>
      <c r="B31" s="357"/>
      <c r="C31" s="49" t="s">
        <v>387</v>
      </c>
      <c r="D31" s="48" t="s">
        <v>386</v>
      </c>
      <c r="E31" s="48">
        <f>M11*4</f>
        <v>552</v>
      </c>
      <c r="F31" s="377"/>
      <c r="G31" s="52">
        <f t="shared" si="1"/>
        <v>0</v>
      </c>
      <c r="H31" s="7"/>
      <c r="I31" s="34"/>
      <c r="J31" s="34"/>
      <c r="K31" s="34"/>
      <c r="L31" s="29"/>
      <c r="M31" s="29"/>
      <c r="N31" s="29"/>
      <c r="O31" s="29"/>
      <c r="P31" s="29"/>
      <c r="Q31" s="29"/>
    </row>
    <row r="32" spans="1:17" ht="15" customHeight="1">
      <c r="A32" s="48">
        <v>14</v>
      </c>
      <c r="B32" s="357"/>
      <c r="C32" s="80" t="s">
        <v>42</v>
      </c>
      <c r="D32" s="50" t="s">
        <v>385</v>
      </c>
      <c r="E32" s="51">
        <f>0.1*1.1*E34+0.1*1.2*E35</f>
        <v>15.89</v>
      </c>
      <c r="F32" s="377"/>
      <c r="G32" s="52">
        <f t="shared" si="1"/>
        <v>0</v>
      </c>
      <c r="H32" s="7"/>
      <c r="I32" s="34"/>
      <c r="J32" s="34"/>
      <c r="K32" s="34"/>
      <c r="L32" s="29"/>
      <c r="M32" s="29"/>
      <c r="N32" s="29"/>
      <c r="O32" s="29"/>
      <c r="P32" s="29"/>
      <c r="Q32" s="29"/>
    </row>
    <row r="33" spans="1:17" ht="57">
      <c r="A33" s="48">
        <v>15</v>
      </c>
      <c r="B33" s="357"/>
      <c r="C33" s="53" t="s">
        <v>296</v>
      </c>
      <c r="D33" s="50" t="s">
        <v>385</v>
      </c>
      <c r="E33" s="51">
        <f>E30-E32-E44-4.73-8.92</f>
        <v>338.99999999999994</v>
      </c>
      <c r="F33" s="377"/>
      <c r="G33" s="52">
        <f t="shared" si="1"/>
        <v>0</v>
      </c>
      <c r="H33" s="7"/>
      <c r="I33" s="34"/>
      <c r="J33" s="34"/>
      <c r="K33" s="34"/>
      <c r="L33" s="29"/>
      <c r="M33" s="29"/>
      <c r="N33" s="29"/>
      <c r="O33" s="29"/>
      <c r="P33" s="29"/>
      <c r="Q33" s="29"/>
    </row>
    <row r="34" spans="1:17" ht="14.25">
      <c r="A34" s="48">
        <v>16</v>
      </c>
      <c r="B34" s="357"/>
      <c r="C34" s="53" t="s">
        <v>291</v>
      </c>
      <c r="D34" s="48" t="s">
        <v>190</v>
      </c>
      <c r="E34" s="48">
        <v>67</v>
      </c>
      <c r="F34" s="377"/>
      <c r="G34" s="52">
        <f t="shared" si="1"/>
        <v>0</v>
      </c>
      <c r="H34" s="7"/>
      <c r="I34" s="34"/>
      <c r="J34" s="34"/>
      <c r="K34" s="98"/>
      <c r="L34" s="29"/>
      <c r="M34" s="29"/>
      <c r="N34" s="29"/>
      <c r="O34" s="29"/>
      <c r="P34" s="29"/>
      <c r="Q34" s="29"/>
    </row>
    <row r="35" spans="1:15" s="30" customFormat="1" ht="14.25">
      <c r="A35" s="48">
        <v>17</v>
      </c>
      <c r="B35" s="357"/>
      <c r="C35" s="53" t="s">
        <v>271</v>
      </c>
      <c r="D35" s="48" t="s">
        <v>190</v>
      </c>
      <c r="E35" s="48">
        <v>71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17" ht="28.5">
      <c r="A36" s="48">
        <v>18</v>
      </c>
      <c r="B36" s="357"/>
      <c r="C36" s="53" t="s">
        <v>309</v>
      </c>
      <c r="D36" s="48" t="s">
        <v>191</v>
      </c>
      <c r="E36" s="48">
        <v>4</v>
      </c>
      <c r="F36" s="377"/>
      <c r="G36" s="52">
        <f t="shared" si="1"/>
        <v>0</v>
      </c>
      <c r="H36" s="7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" customHeight="1">
      <c r="A37" s="48">
        <v>19</v>
      </c>
      <c r="B37" s="357"/>
      <c r="C37" s="53" t="s">
        <v>200</v>
      </c>
      <c r="D37" s="48" t="s">
        <v>191</v>
      </c>
      <c r="E37" s="48">
        <f>M8</f>
        <v>3</v>
      </c>
      <c r="F37" s="377"/>
      <c r="G37" s="52">
        <f t="shared" si="1"/>
        <v>0</v>
      </c>
      <c r="H37" s="7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30" customHeight="1">
      <c r="A38" s="48">
        <v>20</v>
      </c>
      <c r="B38" s="357"/>
      <c r="C38" s="53" t="s">
        <v>233</v>
      </c>
      <c r="D38" s="48" t="s">
        <v>191</v>
      </c>
      <c r="E38" s="51">
        <v>4</v>
      </c>
      <c r="F38" s="377"/>
      <c r="G38" s="52">
        <f t="shared" si="1"/>
        <v>0</v>
      </c>
      <c r="H38" s="7"/>
      <c r="I38" s="30"/>
      <c r="J38" s="30"/>
      <c r="K38" s="30"/>
      <c r="L38" s="30"/>
      <c r="M38" s="29"/>
      <c r="N38" s="30"/>
      <c r="O38" s="30"/>
      <c r="P38" s="29"/>
      <c r="Q38" s="29"/>
    </row>
    <row r="39" spans="1:17" ht="14.25">
      <c r="A39" s="48">
        <v>21</v>
      </c>
      <c r="B39" s="357"/>
      <c r="C39" s="49" t="s">
        <v>192</v>
      </c>
      <c r="D39" s="48" t="s">
        <v>193</v>
      </c>
      <c r="E39" s="51">
        <f>40*M11/2000</f>
        <v>2.76</v>
      </c>
      <c r="F39" s="377"/>
      <c r="G39" s="52">
        <f t="shared" si="1"/>
        <v>0</v>
      </c>
      <c r="H39" s="7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4.25">
      <c r="A40" s="48">
        <v>22</v>
      </c>
      <c r="B40" s="357"/>
      <c r="C40" s="95" t="s">
        <v>282</v>
      </c>
      <c r="D40" s="48" t="s">
        <v>190</v>
      </c>
      <c r="E40" s="51">
        <f>E17</f>
        <v>3</v>
      </c>
      <c r="F40" s="377"/>
      <c r="G40" s="52">
        <f t="shared" si="1"/>
        <v>0</v>
      </c>
      <c r="H40" s="7"/>
      <c r="I40" s="29"/>
      <c r="J40" s="29"/>
      <c r="K40" s="29"/>
      <c r="L40" s="29"/>
      <c r="M40" s="34"/>
      <c r="N40" s="29"/>
      <c r="O40" s="29"/>
      <c r="P40" s="29"/>
      <c r="Q40" s="29"/>
    </row>
    <row r="41" spans="1:17" ht="28.5">
      <c r="A41" s="48">
        <v>23</v>
      </c>
      <c r="B41" s="357"/>
      <c r="C41" s="95" t="s">
        <v>283</v>
      </c>
      <c r="D41" s="48" t="s">
        <v>386</v>
      </c>
      <c r="E41" s="51">
        <f>E18</f>
        <v>4.5</v>
      </c>
      <c r="F41" s="377"/>
      <c r="G41" s="52">
        <f t="shared" si="1"/>
        <v>0</v>
      </c>
      <c r="H41" s="7"/>
      <c r="I41" s="29"/>
      <c r="J41" s="29"/>
      <c r="K41" s="29"/>
      <c r="L41" s="29"/>
      <c r="M41" s="29"/>
      <c r="N41" s="29"/>
      <c r="O41" s="29"/>
      <c r="P41" s="29"/>
      <c r="Q41" s="29"/>
    </row>
    <row r="42" spans="1:15" s="30" customFormat="1" ht="28.5">
      <c r="A42" s="48">
        <v>24</v>
      </c>
      <c r="B42" s="357"/>
      <c r="C42" s="77" t="s">
        <v>293</v>
      </c>
      <c r="D42" s="48" t="s">
        <v>195</v>
      </c>
      <c r="E42" s="82">
        <f>(E15+E16)*96/1000</f>
        <v>23.0688</v>
      </c>
      <c r="F42" s="377"/>
      <c r="G42" s="52">
        <f t="shared" si="1"/>
        <v>0</v>
      </c>
      <c r="H42" s="34"/>
      <c r="I42" s="34"/>
      <c r="J42" s="29"/>
      <c r="N42" s="34"/>
      <c r="O42" s="29"/>
    </row>
    <row r="43" spans="1:17" ht="28.5">
      <c r="A43" s="48">
        <v>25</v>
      </c>
      <c r="B43" s="357"/>
      <c r="C43" s="77" t="s">
        <v>20</v>
      </c>
      <c r="D43" s="48" t="s">
        <v>195</v>
      </c>
      <c r="E43" s="82">
        <f>(E15+E16)*0.06*2.4</f>
        <v>34.603199999999994</v>
      </c>
      <c r="F43" s="377"/>
      <c r="G43" s="52">
        <f t="shared" si="1"/>
        <v>0</v>
      </c>
      <c r="H43" s="34"/>
      <c r="I43" s="34"/>
      <c r="J43" s="29"/>
      <c r="K43" s="29"/>
      <c r="L43" s="29"/>
      <c r="M43" s="29"/>
      <c r="N43" s="34"/>
      <c r="O43" s="29"/>
      <c r="P43" s="29"/>
      <c r="Q43" s="29"/>
    </row>
    <row r="44" spans="1:17" ht="28.5">
      <c r="A44" s="48">
        <v>26</v>
      </c>
      <c r="B44" s="357"/>
      <c r="C44" s="53" t="s">
        <v>21</v>
      </c>
      <c r="D44" s="83" t="s">
        <v>385</v>
      </c>
      <c r="E44" s="85">
        <v>90.49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4.25">
      <c r="A45" s="48">
        <v>27</v>
      </c>
      <c r="B45" s="357"/>
      <c r="C45" s="77" t="s">
        <v>194</v>
      </c>
      <c r="D45" s="74" t="s">
        <v>190</v>
      </c>
      <c r="E45" s="85">
        <f>E13</f>
        <v>276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30"/>
      <c r="O45" s="30"/>
      <c r="P45" s="29"/>
      <c r="Q45" s="29"/>
    </row>
    <row r="46" spans="1:15" s="2" customFormat="1" ht="14.25">
      <c r="A46" s="48">
        <v>28</v>
      </c>
      <c r="B46" s="357"/>
      <c r="C46" s="55" t="s">
        <v>201</v>
      </c>
      <c r="D46" s="50" t="s">
        <v>190</v>
      </c>
      <c r="E46" s="50">
        <f>M11</f>
        <v>138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30"/>
      <c r="O46" s="30"/>
    </row>
    <row r="47" spans="5:17" ht="15">
      <c r="E47" s="57"/>
      <c r="F47" s="58" t="s">
        <v>364</v>
      </c>
      <c r="G47" s="59">
        <f>SUM(G13:G46)</f>
        <v>0</v>
      </c>
      <c r="H47" s="22"/>
      <c r="I47" s="28"/>
      <c r="J47" s="28"/>
      <c r="K47" s="28"/>
      <c r="L47" s="28"/>
      <c r="M47" s="28"/>
      <c r="N47" s="28"/>
      <c r="O47" s="28"/>
      <c r="P47" s="28"/>
      <c r="Q47" s="29"/>
    </row>
    <row r="48" spans="5:17" ht="15">
      <c r="E48" s="484" t="s">
        <v>206</v>
      </c>
      <c r="F48" s="484"/>
      <c r="G48" s="59">
        <f>G47*0.2</f>
        <v>0</v>
      </c>
      <c r="H48" s="22"/>
      <c r="I48" s="28"/>
      <c r="J48" s="28"/>
      <c r="K48" s="28"/>
      <c r="L48" s="28"/>
      <c r="M48" s="28"/>
      <c r="N48" s="28"/>
      <c r="O48" s="28"/>
      <c r="P48" s="28"/>
      <c r="Q48" s="29"/>
    </row>
    <row r="49" spans="3:17" ht="15">
      <c r="C49" s="26"/>
      <c r="E49" s="57"/>
      <c r="F49" s="60" t="s">
        <v>365</v>
      </c>
      <c r="G49" s="59">
        <f>SUM(G47:G48)</f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9"/>
    </row>
    <row r="50" spans="3:17" ht="14.25">
      <c r="C50" s="61"/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2:17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8:17" ht="14.25">
      <c r="H52" s="28"/>
      <c r="I52" s="28"/>
      <c r="J52" s="28"/>
      <c r="K52" s="28"/>
      <c r="L52" s="28"/>
      <c r="M52" s="28"/>
      <c r="N52" s="28"/>
      <c r="O52" s="28"/>
      <c r="P52" s="28"/>
      <c r="Q52" s="29"/>
    </row>
    <row r="53" spans="8:17" ht="15" customHeight="1"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8:17" ht="14.25"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1:6" s="67" customFormat="1" ht="15">
      <c r="A55" s="65" t="s">
        <v>373</v>
      </c>
      <c r="B55" s="2"/>
      <c r="C55" s="65"/>
      <c r="D55" s="66" t="s">
        <v>374</v>
      </c>
      <c r="E55" s="24"/>
      <c r="F55" s="426"/>
    </row>
    <row r="56" spans="1:6" s="67" customFormat="1" ht="12.75">
      <c r="A56" s="11"/>
      <c r="B56" s="2"/>
      <c r="C56" s="11"/>
      <c r="D56" s="2"/>
      <c r="E56" s="24"/>
      <c r="F56" s="426"/>
    </row>
    <row r="57" spans="1:6" s="67" customFormat="1" ht="14.25">
      <c r="A57" s="11"/>
      <c r="B57" s="2"/>
      <c r="C57" s="68"/>
      <c r="D57" s="69" t="s">
        <v>375</v>
      </c>
      <c r="E57" s="24"/>
      <c r="F57" s="426"/>
    </row>
    <row r="58" spans="1:6" s="67" customFormat="1" ht="12.75">
      <c r="A58" s="11"/>
      <c r="B58" s="2"/>
      <c r="C58" s="11"/>
      <c r="D58" s="2"/>
      <c r="E58" s="70" t="s">
        <v>376</v>
      </c>
      <c r="F58" s="426"/>
    </row>
    <row r="59" spans="1:6" s="67" customFormat="1" ht="14.25">
      <c r="A59" s="11"/>
      <c r="B59" s="2"/>
      <c r="C59" s="68"/>
      <c r="D59" s="69" t="s">
        <v>377</v>
      </c>
      <c r="E59" s="24"/>
      <c r="F59" s="426"/>
    </row>
    <row r="60" spans="1:6" s="67" customFormat="1" ht="12.75">
      <c r="A60" s="11"/>
      <c r="B60" s="2"/>
      <c r="C60" s="11"/>
      <c r="D60" s="71" t="s">
        <v>378</v>
      </c>
      <c r="E60" s="24"/>
      <c r="F60" s="426"/>
    </row>
  </sheetData>
  <sheetProtection sheet="1" formatCells="0" formatColumns="0" formatRows="0" insertColumns="0" insertRows="0" insertHyperlinks="0" deleteColumns="0" deleteRows="0"/>
  <protectedRanges>
    <protectedRange password="CF7A" sqref="A6:E7" name="Range1"/>
    <protectedRange password="CF7A" sqref="A9:A12 C9:E12 B9:B10 B12" name="Range1_3"/>
    <protectedRange password="CF7A" sqref="F48 A47:E60" name="Range1_6"/>
  </protectedRanges>
  <mergeCells count="19">
    <mergeCell ref="C1:G1"/>
    <mergeCell ref="C3:G3"/>
    <mergeCell ref="A4:B4"/>
    <mergeCell ref="C4:G4"/>
    <mergeCell ref="C5:G5"/>
    <mergeCell ref="A10:A11"/>
    <mergeCell ref="B10:B11"/>
    <mergeCell ref="F6:F7"/>
    <mergeCell ref="G10:G11"/>
    <mergeCell ref="E48:F48"/>
    <mergeCell ref="A20:A23"/>
    <mergeCell ref="A6:E7"/>
    <mergeCell ref="C10:C11"/>
    <mergeCell ref="D10:D11"/>
    <mergeCell ref="E10:E11"/>
    <mergeCell ref="F10:F11"/>
    <mergeCell ref="A8:G8"/>
    <mergeCell ref="A9:E9"/>
    <mergeCell ref="A24:A27"/>
  </mergeCells>
  <printOptions horizontalCentered="1"/>
  <pageMargins left="0.5905511811023623" right="0.1968503937007874" top="0.1968503937007874" bottom="0.2755905511811024" header="0.35433070866141736" footer="0.2755905511811024"/>
  <pageSetup fitToHeight="1" fitToWidth="1" horizontalDpi="600" verticalDpi="600" orientation="portrait" paperSize="9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="96" zoomScaleNormal="96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281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9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38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4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302</v>
      </c>
      <c r="N8" s="48">
        <v>10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1146.69</v>
      </c>
      <c r="J9" s="73"/>
      <c r="K9" s="73"/>
      <c r="L9" s="47"/>
      <c r="M9" s="48" t="s">
        <v>301</v>
      </c>
      <c r="N9" s="48">
        <v>10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294.55</v>
      </c>
      <c r="J10" s="48"/>
      <c r="K10" s="48"/>
      <c r="L10" s="47"/>
      <c r="M10" s="74" t="s">
        <v>210</v>
      </c>
      <c r="N10" s="74">
        <v>1.2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57.75</v>
      </c>
      <c r="J11" s="48"/>
      <c r="K11" s="48"/>
      <c r="L11" s="47"/>
      <c r="M11" s="48" t="s">
        <v>299</v>
      </c>
      <c r="N11" s="48">
        <v>10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119.14</v>
      </c>
      <c r="J12" s="48"/>
      <c r="K12" s="48"/>
      <c r="L12" s="47"/>
      <c r="M12" s="48" t="s">
        <v>300</v>
      </c>
      <c r="N12" s="48">
        <v>6</v>
      </c>
      <c r="O12" s="48" t="s">
        <v>284</v>
      </c>
      <c r="P12" s="48"/>
    </row>
    <row r="13" spans="1:16" ht="28.5">
      <c r="A13" s="48">
        <v>1</v>
      </c>
      <c r="B13" s="393"/>
      <c r="C13" s="53" t="s">
        <v>182</v>
      </c>
      <c r="D13" s="48" t="s">
        <v>190</v>
      </c>
      <c r="E13" s="51">
        <f>N13*2+33*2</f>
        <v>614</v>
      </c>
      <c r="F13" s="377"/>
      <c r="G13" s="52">
        <f aca="true" t="shared" si="0" ref="G13:G19">E13*F13</f>
        <v>0</v>
      </c>
      <c r="H13" s="7"/>
      <c r="I13" s="48"/>
      <c r="J13" s="48"/>
      <c r="K13" s="48"/>
      <c r="L13" s="47"/>
      <c r="M13" s="48" t="s">
        <v>213</v>
      </c>
      <c r="N13" s="48">
        <v>274</v>
      </c>
      <c r="O13" s="48" t="s">
        <v>175</v>
      </c>
      <c r="P13" s="48"/>
    </row>
    <row r="14" spans="1:16" ht="14.25">
      <c r="A14" s="48">
        <v>2</v>
      </c>
      <c r="B14" s="393"/>
      <c r="C14" s="53" t="s">
        <v>37</v>
      </c>
      <c r="D14" s="48" t="s">
        <v>190</v>
      </c>
      <c r="E14" s="51">
        <f>N9*2*2</f>
        <v>40</v>
      </c>
      <c r="F14" s="377"/>
      <c r="G14" s="52">
        <f t="shared" si="0"/>
        <v>0</v>
      </c>
      <c r="H14" s="7"/>
      <c r="I14" s="48"/>
      <c r="J14" s="48"/>
      <c r="K14" s="48"/>
      <c r="L14" s="47"/>
      <c r="M14" s="48" t="s">
        <v>209</v>
      </c>
      <c r="N14" s="5">
        <v>1.9</v>
      </c>
      <c r="O14" s="48" t="s">
        <v>253</v>
      </c>
      <c r="P14" s="48"/>
    </row>
    <row r="15" spans="1:16" ht="28.5">
      <c r="A15" s="48">
        <v>3</v>
      </c>
      <c r="B15" s="393"/>
      <c r="C15" s="53" t="s">
        <v>183</v>
      </c>
      <c r="D15" s="48" t="s">
        <v>386</v>
      </c>
      <c r="E15" s="51">
        <f>N13*N14+33*0.7</f>
        <v>543.7</v>
      </c>
      <c r="F15" s="377"/>
      <c r="G15" s="52">
        <f t="shared" si="0"/>
        <v>0</v>
      </c>
      <c r="H15" s="7"/>
      <c r="I15" s="48"/>
      <c r="J15" s="48"/>
      <c r="K15" s="48"/>
      <c r="L15" s="75"/>
      <c r="M15" s="48" t="s">
        <v>208</v>
      </c>
      <c r="N15" s="48">
        <f>N9*N10*N12*2+N8*2*2*2</f>
        <v>224</v>
      </c>
      <c r="O15" s="48" t="s">
        <v>209</v>
      </c>
      <c r="P15" s="48"/>
    </row>
    <row r="16" spans="1:16" ht="28.5">
      <c r="A16" s="48">
        <v>4</v>
      </c>
      <c r="B16" s="393"/>
      <c r="C16" s="53" t="s">
        <v>38</v>
      </c>
      <c r="D16" s="48" t="s">
        <v>386</v>
      </c>
      <c r="E16" s="51">
        <f>N9*N10*2</f>
        <v>24</v>
      </c>
      <c r="F16" s="377"/>
      <c r="G16" s="52">
        <f t="shared" si="0"/>
        <v>0</v>
      </c>
      <c r="H16" s="7"/>
      <c r="I16" s="48"/>
      <c r="J16" s="48"/>
      <c r="K16" s="48"/>
      <c r="L16" s="75"/>
      <c r="M16" s="48" t="s">
        <v>212</v>
      </c>
      <c r="N16" s="48">
        <v>5</v>
      </c>
      <c r="O16" s="48" t="s">
        <v>216</v>
      </c>
      <c r="P16" s="48"/>
    </row>
    <row r="17" spans="1:14" ht="14.25">
      <c r="A17" s="48">
        <v>5</v>
      </c>
      <c r="B17" s="393"/>
      <c r="C17" s="53" t="s">
        <v>39</v>
      </c>
      <c r="D17" s="48" t="s">
        <v>190</v>
      </c>
      <c r="E17" s="51">
        <f>N9*1+P9*1</f>
        <v>10</v>
      </c>
      <c r="F17" s="377"/>
      <c r="G17" s="52">
        <f t="shared" si="0"/>
        <v>0</v>
      </c>
      <c r="H17" s="7"/>
      <c r="I17" s="76">
        <f>SUM(I9:I16)</f>
        <v>1618.13</v>
      </c>
      <c r="J17" s="76">
        <f>SUM(J9:J16)</f>
        <v>0</v>
      </c>
      <c r="K17" s="76">
        <f>SUM(K9:K16)</f>
        <v>0</v>
      </c>
      <c r="L17" s="48">
        <f>SUM(I17:K17)</f>
        <v>1618.13</v>
      </c>
      <c r="M17" s="48"/>
      <c r="N17" s="48"/>
    </row>
    <row r="18" spans="1:14" ht="16.5">
      <c r="A18" s="48">
        <v>6</v>
      </c>
      <c r="B18" s="393"/>
      <c r="C18" s="53" t="s">
        <v>40</v>
      </c>
      <c r="D18" s="48" t="s">
        <v>386</v>
      </c>
      <c r="E18" s="51">
        <f>N9*4+P9*3</f>
        <v>40</v>
      </c>
      <c r="F18" s="377"/>
      <c r="G18" s="52">
        <f t="shared" si="0"/>
        <v>0</v>
      </c>
      <c r="H18" s="7"/>
      <c r="I18" s="34"/>
      <c r="J18" s="34"/>
      <c r="K18" s="34"/>
      <c r="L18" s="34"/>
      <c r="M18" s="76"/>
      <c r="N18" s="76"/>
    </row>
    <row r="19" spans="1:14" ht="28.5">
      <c r="A19" s="48">
        <v>7</v>
      </c>
      <c r="B19" s="393"/>
      <c r="C19" s="77" t="s">
        <v>268</v>
      </c>
      <c r="D19" s="50" t="s">
        <v>385</v>
      </c>
      <c r="E19" s="51">
        <f>(E15+E16+E18)*0.1</f>
        <v>60.77000000000001</v>
      </c>
      <c r="F19" s="377"/>
      <c r="G19" s="52">
        <f t="shared" si="0"/>
        <v>0</v>
      </c>
      <c r="H19" s="7"/>
      <c r="I19" s="34"/>
      <c r="J19" s="34"/>
      <c r="K19" s="34"/>
      <c r="L19" s="34"/>
      <c r="M19" s="34"/>
      <c r="N19" s="34"/>
    </row>
    <row r="20" spans="1:14" ht="42.75">
      <c r="A20" s="496">
        <v>8</v>
      </c>
      <c r="B20" s="412"/>
      <c r="C20" s="44" t="s">
        <v>185</v>
      </c>
      <c r="D20" s="43"/>
      <c r="E20" s="43"/>
      <c r="F20" s="403"/>
      <c r="G20" s="45"/>
      <c r="H20" s="4"/>
      <c r="J20" s="34"/>
      <c r="K20" s="34"/>
      <c r="L20" s="34"/>
      <c r="M20" s="34"/>
      <c r="N20" s="34"/>
    </row>
    <row r="21" spans="1:14" ht="16.5">
      <c r="A21" s="497">
        <f>A20+1</f>
        <v>9</v>
      </c>
      <c r="B21" s="393"/>
      <c r="C21" s="49" t="s">
        <v>264</v>
      </c>
      <c r="D21" s="50" t="s">
        <v>385</v>
      </c>
      <c r="E21" s="51">
        <f>0.7*I17</f>
        <v>1132.691</v>
      </c>
      <c r="F21" s="377"/>
      <c r="G21" s="52">
        <f>E21*F21</f>
        <v>0</v>
      </c>
      <c r="H21" s="7"/>
      <c r="J21" s="34"/>
      <c r="K21" s="34"/>
      <c r="L21" s="34"/>
      <c r="M21" s="34"/>
      <c r="N21" s="34"/>
    </row>
    <row r="22" spans="1:14" ht="16.5">
      <c r="A22" s="497">
        <f>A21+1</f>
        <v>10</v>
      </c>
      <c r="B22" s="393"/>
      <c r="C22" s="53" t="s">
        <v>263</v>
      </c>
      <c r="D22" s="50" t="s">
        <v>385</v>
      </c>
      <c r="E22" s="51">
        <f>0.05*I17</f>
        <v>80.90650000000001</v>
      </c>
      <c r="F22" s="377"/>
      <c r="G22" s="52">
        <f>E22*F22</f>
        <v>0</v>
      </c>
      <c r="H22" s="7"/>
      <c r="I22" s="34"/>
      <c r="J22" s="34"/>
      <c r="K22" s="34"/>
      <c r="L22" s="34"/>
      <c r="M22" s="34"/>
      <c r="N22" s="34"/>
    </row>
    <row r="23" spans="1:13" ht="16.5">
      <c r="A23" s="498">
        <f>A22+1</f>
        <v>11</v>
      </c>
      <c r="B23" s="393"/>
      <c r="C23" s="49" t="s">
        <v>265</v>
      </c>
      <c r="D23" s="50" t="s">
        <v>385</v>
      </c>
      <c r="E23" s="51">
        <f>0.25*I17</f>
        <v>404.5325</v>
      </c>
      <c r="F23" s="377"/>
      <c r="G23" s="52">
        <f>E23*F23</f>
        <v>0</v>
      </c>
      <c r="H23" s="7"/>
      <c r="I23" s="34"/>
      <c r="J23" s="34"/>
      <c r="K23" s="34"/>
      <c r="L23" s="34"/>
      <c r="M23" s="34"/>
    </row>
    <row r="24" spans="1:13" ht="15" customHeight="1">
      <c r="A24" s="496">
        <v>9</v>
      </c>
      <c r="B24" s="413"/>
      <c r="C24" s="53" t="s">
        <v>176</v>
      </c>
      <c r="D24" s="96"/>
      <c r="E24" s="96"/>
      <c r="F24" s="411"/>
      <c r="G24" s="97"/>
      <c r="H24" s="4"/>
      <c r="I24" s="34"/>
      <c r="J24" s="34"/>
      <c r="K24" s="34"/>
      <c r="L24" s="34"/>
      <c r="M24" s="34"/>
    </row>
    <row r="25" spans="1:12" ht="15" customHeight="1">
      <c r="A25" s="497"/>
      <c r="B25" s="393"/>
      <c r="C25" s="49" t="s">
        <v>199</v>
      </c>
      <c r="D25" s="50" t="s">
        <v>385</v>
      </c>
      <c r="E25" s="51">
        <f>0.6*N15</f>
        <v>134.4</v>
      </c>
      <c r="F25" s="377"/>
      <c r="G25" s="52">
        <f aca="true" t="shared" si="1" ref="G25:G47">E25*F25</f>
        <v>0</v>
      </c>
      <c r="H25" s="7"/>
      <c r="I25" s="34"/>
      <c r="J25" s="34"/>
      <c r="K25" s="34"/>
      <c r="L25" s="34"/>
    </row>
    <row r="26" spans="1:12" ht="15" customHeight="1">
      <c r="A26" s="497"/>
      <c r="B26" s="393"/>
      <c r="C26" s="53" t="s">
        <v>266</v>
      </c>
      <c r="D26" s="50" t="s">
        <v>385</v>
      </c>
      <c r="E26" s="51">
        <f>0.05*N15</f>
        <v>11.200000000000001</v>
      </c>
      <c r="F26" s="377"/>
      <c r="G26" s="52">
        <f t="shared" si="1"/>
        <v>0</v>
      </c>
      <c r="H26" s="7"/>
      <c r="I26" s="34"/>
      <c r="J26" s="34"/>
      <c r="K26" s="34"/>
      <c r="L26" s="34"/>
    </row>
    <row r="27" spans="1:12" ht="16.5" customHeight="1">
      <c r="A27" s="498"/>
      <c r="B27" s="393"/>
      <c r="C27" s="49" t="s">
        <v>267</v>
      </c>
      <c r="D27" s="50" t="s">
        <v>385</v>
      </c>
      <c r="E27" s="51">
        <f>0.35*N15</f>
        <v>78.39999999999999</v>
      </c>
      <c r="F27" s="377"/>
      <c r="G27" s="52">
        <f t="shared" si="1"/>
        <v>0</v>
      </c>
      <c r="H27" s="7"/>
      <c r="I27" s="34"/>
      <c r="J27" s="34"/>
      <c r="K27" s="34"/>
      <c r="L27" s="34"/>
    </row>
    <row r="28" spans="1:12" ht="28.5">
      <c r="A28" s="48">
        <v>10</v>
      </c>
      <c r="B28" s="393"/>
      <c r="C28" s="80" t="s">
        <v>196</v>
      </c>
      <c r="D28" s="50" t="s">
        <v>385</v>
      </c>
      <c r="E28" s="51">
        <f>E23+E27</f>
        <v>482.9325</v>
      </c>
      <c r="F28" s="377"/>
      <c r="G28" s="52">
        <f t="shared" si="1"/>
        <v>0</v>
      </c>
      <c r="H28" s="7"/>
      <c r="I28" s="34"/>
      <c r="J28" s="34"/>
      <c r="K28" s="34"/>
      <c r="L28" s="51"/>
    </row>
    <row r="29" spans="1:8" ht="16.5">
      <c r="A29" s="48">
        <v>11</v>
      </c>
      <c r="B29" s="393"/>
      <c r="C29" s="55" t="s">
        <v>197</v>
      </c>
      <c r="D29" s="50" t="s">
        <v>385</v>
      </c>
      <c r="E29" s="81">
        <f>E28</f>
        <v>482.9325</v>
      </c>
      <c r="F29" s="377"/>
      <c r="G29" s="52">
        <f t="shared" si="1"/>
        <v>0</v>
      </c>
      <c r="H29" s="7"/>
    </row>
    <row r="30" spans="1:8" ht="16.5">
      <c r="A30" s="48">
        <v>12</v>
      </c>
      <c r="B30" s="393"/>
      <c r="C30" s="80" t="s">
        <v>72</v>
      </c>
      <c r="D30" s="50" t="s">
        <v>385</v>
      </c>
      <c r="E30" s="51">
        <f>L17+N15</f>
        <v>1842.13</v>
      </c>
      <c r="F30" s="377"/>
      <c r="G30" s="52">
        <f t="shared" si="1"/>
        <v>0</v>
      </c>
      <c r="H30" s="7"/>
    </row>
    <row r="31" spans="1:8" ht="16.5">
      <c r="A31" s="48">
        <v>13</v>
      </c>
      <c r="B31" s="393"/>
      <c r="C31" s="49" t="s">
        <v>387</v>
      </c>
      <c r="D31" s="48" t="s">
        <v>386</v>
      </c>
      <c r="E31" s="48">
        <f>N13*4</f>
        <v>1096</v>
      </c>
      <c r="F31" s="377"/>
      <c r="G31" s="52">
        <f t="shared" si="1"/>
        <v>0</v>
      </c>
      <c r="H31" s="7"/>
    </row>
    <row r="32" spans="1:16" s="30" customFormat="1" ht="28.5">
      <c r="A32" s="48">
        <v>14</v>
      </c>
      <c r="B32" s="393"/>
      <c r="C32" s="80" t="s">
        <v>85</v>
      </c>
      <c r="D32" s="50" t="s">
        <v>385</v>
      </c>
      <c r="E32" s="51">
        <f>0.1*1.9*E34+0.1*0.7*33</f>
        <v>54.370000000000005</v>
      </c>
      <c r="F32" s="377"/>
      <c r="G32" s="52">
        <f t="shared" si="1"/>
        <v>0</v>
      </c>
      <c r="H32" s="7"/>
      <c r="I32" s="29"/>
      <c r="J32" s="29"/>
      <c r="K32" s="29"/>
      <c r="L32" s="29"/>
      <c r="M32" s="29"/>
      <c r="N32" s="29"/>
      <c r="O32" s="29"/>
      <c r="P32" s="29"/>
    </row>
    <row r="33" spans="1:8" ht="42.75">
      <c r="A33" s="48">
        <v>15</v>
      </c>
      <c r="B33" s="393"/>
      <c r="C33" s="53" t="s">
        <v>43</v>
      </c>
      <c r="D33" s="50" t="s">
        <v>385</v>
      </c>
      <c r="E33" s="51">
        <f>E30-E32-E44-19.36-1.19</f>
        <v>1453.8700000000003</v>
      </c>
      <c r="F33" s="377"/>
      <c r="G33" s="52">
        <f t="shared" si="1"/>
        <v>0</v>
      </c>
      <c r="H33" s="7"/>
    </row>
    <row r="34" spans="1:9" ht="14.25">
      <c r="A34" s="48">
        <v>16</v>
      </c>
      <c r="B34" s="393"/>
      <c r="C34" s="53" t="s">
        <v>291</v>
      </c>
      <c r="D34" s="48" t="s">
        <v>190</v>
      </c>
      <c r="E34" s="48">
        <f>N13</f>
        <v>274</v>
      </c>
      <c r="F34" s="377"/>
      <c r="G34" s="52">
        <f t="shared" si="1"/>
        <v>0</v>
      </c>
      <c r="H34" s="7"/>
      <c r="I34" s="34"/>
    </row>
    <row r="35" spans="1:9" ht="28.5">
      <c r="A35" s="48">
        <v>17</v>
      </c>
      <c r="B35" s="393"/>
      <c r="C35" s="53" t="s">
        <v>309</v>
      </c>
      <c r="D35" s="48" t="s">
        <v>191</v>
      </c>
      <c r="E35" s="48">
        <f>N16</f>
        <v>5</v>
      </c>
      <c r="F35" s="377"/>
      <c r="G35" s="52">
        <f t="shared" si="1"/>
        <v>0</v>
      </c>
      <c r="H35" s="7"/>
      <c r="I35" s="34"/>
    </row>
    <row r="36" spans="1:8" ht="14.25">
      <c r="A36" s="48">
        <v>18</v>
      </c>
      <c r="B36" s="393"/>
      <c r="C36" s="53" t="s">
        <v>200</v>
      </c>
      <c r="D36" s="48" t="s">
        <v>191</v>
      </c>
      <c r="E36" s="48">
        <f>N9</f>
        <v>10</v>
      </c>
      <c r="F36" s="377"/>
      <c r="G36" s="52">
        <f t="shared" si="1"/>
        <v>0</v>
      </c>
      <c r="H36" s="7"/>
    </row>
    <row r="37" spans="1:14" ht="28.5">
      <c r="A37" s="48">
        <v>19</v>
      </c>
      <c r="B37" s="393"/>
      <c r="C37" s="53" t="s">
        <v>390</v>
      </c>
      <c r="D37" s="48" t="s">
        <v>190</v>
      </c>
      <c r="E37" s="48">
        <f>N8*N11</f>
        <v>100</v>
      </c>
      <c r="F37" s="377"/>
      <c r="G37" s="52">
        <f t="shared" si="1"/>
        <v>0</v>
      </c>
      <c r="H37" s="7"/>
      <c r="N37" s="34"/>
    </row>
    <row r="38" spans="1:14" ht="14.25">
      <c r="A38" s="48">
        <v>20</v>
      </c>
      <c r="B38" s="393"/>
      <c r="C38" s="49" t="s">
        <v>192</v>
      </c>
      <c r="D38" s="48" t="s">
        <v>193</v>
      </c>
      <c r="E38" s="51">
        <f>40*(N13+382)/2000</f>
        <v>13.12</v>
      </c>
      <c r="F38" s="377"/>
      <c r="G38" s="52">
        <f t="shared" si="1"/>
        <v>0</v>
      </c>
      <c r="H38" s="34"/>
      <c r="N38" s="34"/>
    </row>
    <row r="39" spans="1:14" ht="14.25">
      <c r="A39" s="48">
        <v>21</v>
      </c>
      <c r="B39" s="393"/>
      <c r="C39" s="95" t="s">
        <v>282</v>
      </c>
      <c r="D39" s="48" t="s">
        <v>190</v>
      </c>
      <c r="E39" s="51">
        <f>E17</f>
        <v>10</v>
      </c>
      <c r="F39" s="377"/>
      <c r="G39" s="52">
        <f t="shared" si="1"/>
        <v>0</v>
      </c>
      <c r="H39" s="34"/>
      <c r="M39" s="30"/>
      <c r="N39" s="30"/>
    </row>
    <row r="40" spans="1:14" ht="16.5">
      <c r="A40" s="48">
        <v>22</v>
      </c>
      <c r="B40" s="393"/>
      <c r="C40" s="95" t="s">
        <v>283</v>
      </c>
      <c r="D40" s="48" t="s">
        <v>386</v>
      </c>
      <c r="E40" s="51">
        <f>E18</f>
        <v>40</v>
      </c>
      <c r="F40" s="377"/>
      <c r="G40" s="52">
        <f t="shared" si="1"/>
        <v>0</v>
      </c>
      <c r="H40" s="7"/>
      <c r="M40" s="30"/>
      <c r="N40" s="30"/>
    </row>
    <row r="41" spans="1:16" ht="28.5">
      <c r="A41" s="48">
        <v>23</v>
      </c>
      <c r="B41" s="393"/>
      <c r="C41" s="77" t="s">
        <v>293</v>
      </c>
      <c r="D41" s="48" t="s">
        <v>195</v>
      </c>
      <c r="E41" s="82">
        <f>(E15+E16)*96/1000</f>
        <v>54.4992</v>
      </c>
      <c r="F41" s="377"/>
      <c r="G41" s="52">
        <f t="shared" si="1"/>
        <v>0</v>
      </c>
      <c r="H41" s="7"/>
      <c r="O41" s="30"/>
      <c r="P41" s="30"/>
    </row>
    <row r="42" spans="1:16" s="2" customFormat="1" ht="28.5">
      <c r="A42" s="48">
        <v>24</v>
      </c>
      <c r="B42" s="393"/>
      <c r="C42" s="77" t="s">
        <v>294</v>
      </c>
      <c r="D42" s="48" t="s">
        <v>195</v>
      </c>
      <c r="E42" s="82">
        <f>E41</f>
        <v>54.4992</v>
      </c>
      <c r="F42" s="377"/>
      <c r="G42" s="52">
        <f t="shared" si="1"/>
        <v>0</v>
      </c>
      <c r="H42" s="7"/>
      <c r="I42" s="29"/>
      <c r="J42" s="29"/>
      <c r="K42" s="29"/>
      <c r="L42" s="29"/>
      <c r="M42" s="29"/>
      <c r="N42" s="29"/>
      <c r="O42" s="29"/>
      <c r="P42" s="29"/>
    </row>
    <row r="43" spans="1:16" s="30" customFormat="1" ht="28.5">
      <c r="A43" s="48">
        <v>25</v>
      </c>
      <c r="B43" s="393"/>
      <c r="C43" s="53" t="s">
        <v>30</v>
      </c>
      <c r="D43" s="83" t="s">
        <v>195</v>
      </c>
      <c r="E43" s="51">
        <f>(E15+E16)*0.12*2.4</f>
        <v>163.4976</v>
      </c>
      <c r="F43" s="377"/>
      <c r="G43" s="52">
        <f t="shared" si="1"/>
        <v>0</v>
      </c>
      <c r="H43" s="7"/>
      <c r="I43" s="29"/>
      <c r="J43" s="29"/>
      <c r="K43" s="29"/>
      <c r="L43" s="29"/>
      <c r="M43" s="29"/>
      <c r="N43" s="29"/>
      <c r="O43" s="29"/>
      <c r="P43" s="29"/>
    </row>
    <row r="44" spans="1:14" ht="28.5">
      <c r="A44" s="48">
        <v>26</v>
      </c>
      <c r="B44" s="393"/>
      <c r="C44" s="53" t="s">
        <v>31</v>
      </c>
      <c r="D44" s="83" t="s">
        <v>385</v>
      </c>
      <c r="E44" s="85">
        <v>313.34</v>
      </c>
      <c r="F44" s="377"/>
      <c r="G44" s="52">
        <f t="shared" si="1"/>
        <v>0</v>
      </c>
      <c r="H44" s="7"/>
      <c r="N44" s="3"/>
    </row>
    <row r="45" spans="1:16" ht="14.25">
      <c r="A45" s="48">
        <v>27</v>
      </c>
      <c r="B45" s="393"/>
      <c r="C45" s="77" t="s">
        <v>194</v>
      </c>
      <c r="D45" s="74" t="s">
        <v>190</v>
      </c>
      <c r="E45" s="85">
        <f>E13+E14</f>
        <v>654</v>
      </c>
      <c r="F45" s="377"/>
      <c r="G45" s="52">
        <f t="shared" si="1"/>
        <v>0</v>
      </c>
      <c r="H45" s="7"/>
      <c r="N45" s="30"/>
      <c r="O45" s="3"/>
      <c r="P45" s="6"/>
    </row>
    <row r="46" spans="1:16" s="2" customFormat="1" ht="14.25">
      <c r="A46" s="48">
        <v>28</v>
      </c>
      <c r="B46" s="393"/>
      <c r="C46" s="55" t="s">
        <v>201</v>
      </c>
      <c r="D46" s="50" t="s">
        <v>190</v>
      </c>
      <c r="E46" s="50">
        <f>N13+382</f>
        <v>656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29"/>
      <c r="O46" s="29"/>
      <c r="P46" s="29"/>
    </row>
    <row r="47" spans="1:14" ht="14.25">
      <c r="A47" s="48">
        <v>29</v>
      </c>
      <c r="B47" s="393"/>
      <c r="C47" s="55" t="s">
        <v>186</v>
      </c>
      <c r="D47" s="50" t="s">
        <v>190</v>
      </c>
      <c r="E47" s="48">
        <v>382</v>
      </c>
      <c r="F47" s="377"/>
      <c r="G47" s="52">
        <f t="shared" si="1"/>
        <v>0</v>
      </c>
      <c r="H47" s="7"/>
      <c r="N47" s="3"/>
    </row>
    <row r="48" spans="1:15" ht="14.25">
      <c r="A48" s="48">
        <v>30</v>
      </c>
      <c r="B48" s="393"/>
      <c r="C48" s="55" t="s">
        <v>187</v>
      </c>
      <c r="D48" s="50" t="s">
        <v>191</v>
      </c>
      <c r="E48" s="48">
        <v>1</v>
      </c>
      <c r="F48" s="377"/>
      <c r="G48" s="52">
        <f>E48*F48</f>
        <v>0</v>
      </c>
      <c r="H48" s="7"/>
      <c r="N48" s="3"/>
      <c r="O48" s="6"/>
    </row>
    <row r="49" spans="1:8" ht="14.25">
      <c r="A49" s="48">
        <v>31</v>
      </c>
      <c r="B49" s="393"/>
      <c r="C49" s="55" t="s">
        <v>188</v>
      </c>
      <c r="D49" s="50" t="s">
        <v>191</v>
      </c>
      <c r="E49" s="51">
        <f>5*(E47/100)</f>
        <v>19.099999999999998</v>
      </c>
      <c r="F49" s="377"/>
      <c r="G49" s="52">
        <f>E49*F49</f>
        <v>0</v>
      </c>
      <c r="H49" s="7"/>
    </row>
    <row r="50" spans="5:7" ht="15">
      <c r="E50" s="57"/>
      <c r="F50" s="58" t="s">
        <v>364</v>
      </c>
      <c r="G50" s="59">
        <f>SUM(G13:G49)</f>
        <v>0</v>
      </c>
    </row>
    <row r="51" spans="5:7" ht="15">
      <c r="E51" s="484" t="s">
        <v>206</v>
      </c>
      <c r="F51" s="484"/>
      <c r="G51" s="59">
        <f>G50*0.2</f>
        <v>0</v>
      </c>
    </row>
    <row r="52" spans="3:7" ht="15" customHeight="1">
      <c r="C52" s="26"/>
      <c r="E52" s="57"/>
      <c r="F52" s="60" t="s">
        <v>365</v>
      </c>
      <c r="G52" s="59">
        <f>SUM(G50:G51)</f>
        <v>0</v>
      </c>
    </row>
    <row r="53" spans="3:5" ht="14.25">
      <c r="C53" s="61"/>
      <c r="D53" s="62"/>
      <c r="E53" s="62"/>
    </row>
    <row r="54" spans="2:16" ht="18.75">
      <c r="B54" s="63" t="s">
        <v>370</v>
      </c>
      <c r="C54" s="64" t="s">
        <v>371</v>
      </c>
      <c r="D54" s="62"/>
      <c r="E54" s="62"/>
      <c r="H54" s="28"/>
      <c r="I54" s="28"/>
      <c r="J54" s="28"/>
      <c r="K54" s="28"/>
      <c r="L54" s="28"/>
      <c r="M54" s="28"/>
      <c r="N54" s="28"/>
      <c r="O54" s="28"/>
      <c r="P54" s="28"/>
    </row>
    <row r="55" spans="8:16" ht="14.25">
      <c r="H55" s="28"/>
      <c r="I55" s="28"/>
      <c r="J55" s="28"/>
      <c r="K55" s="28"/>
      <c r="L55" s="28"/>
      <c r="M55" s="28"/>
      <c r="N55" s="28"/>
      <c r="O55" s="28"/>
      <c r="P55" s="28"/>
    </row>
    <row r="56" spans="8:16" ht="15" customHeight="1">
      <c r="H56" s="28"/>
      <c r="I56" s="28"/>
      <c r="J56" s="28"/>
      <c r="K56" s="28"/>
      <c r="L56" s="28"/>
      <c r="M56" s="28"/>
      <c r="N56" s="28"/>
      <c r="O56" s="28"/>
      <c r="P56" s="28"/>
    </row>
    <row r="57" spans="8:16" ht="14.25">
      <c r="H57" s="28"/>
      <c r="I57" s="28"/>
      <c r="J57" s="28"/>
      <c r="K57" s="28"/>
      <c r="L57" s="28"/>
      <c r="M57" s="28"/>
      <c r="N57" s="28"/>
      <c r="O57" s="28"/>
      <c r="P57" s="28"/>
    </row>
    <row r="58" spans="1:5" s="67" customFormat="1" ht="15">
      <c r="A58" s="65" t="s">
        <v>373</v>
      </c>
      <c r="B58" s="2"/>
      <c r="C58" s="65"/>
      <c r="D58" s="66" t="s">
        <v>374</v>
      </c>
      <c r="E58" s="24"/>
    </row>
    <row r="59" spans="1:5" s="67" customFormat="1" ht="12.75">
      <c r="A59" s="11"/>
      <c r="B59" s="2"/>
      <c r="C59" s="11"/>
      <c r="D59" s="2"/>
      <c r="E59" s="24"/>
    </row>
    <row r="60" spans="1:5" s="67" customFormat="1" ht="14.25">
      <c r="A60" s="11"/>
      <c r="B60" s="2"/>
      <c r="C60" s="68"/>
      <c r="D60" s="69" t="s">
        <v>375</v>
      </c>
      <c r="E60" s="24"/>
    </row>
    <row r="61" spans="1:5" s="67" customFormat="1" ht="12.75">
      <c r="A61" s="11"/>
      <c r="B61" s="2"/>
      <c r="C61" s="11"/>
      <c r="D61" s="2"/>
      <c r="E61" s="70" t="s">
        <v>376</v>
      </c>
    </row>
    <row r="62" spans="1:5" s="67" customFormat="1" ht="14.25">
      <c r="A62" s="11"/>
      <c r="B62" s="2"/>
      <c r="C62" s="68"/>
      <c r="D62" s="69" t="s">
        <v>377</v>
      </c>
      <c r="E62" s="24"/>
    </row>
    <row r="63" spans="1:5" s="67" customFormat="1" ht="12.75">
      <c r="A63" s="11"/>
      <c r="B63" s="2"/>
      <c r="C63" s="11"/>
      <c r="D63" s="71" t="s">
        <v>378</v>
      </c>
      <c r="E63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54:E63" name="Range1"/>
    <protectedRange password="CF7A" sqref="A9:A12 C9:E12 B9:B10 B12" name="Range1_2"/>
    <protectedRange password="CF7A" sqref="F51 E50:E52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51:F51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2362204724409449" top="0.2755905511811024" bottom="0.2755905511811024" header="0.1968503937007874" footer="0.1968503937007874"/>
  <pageSetup fitToHeight="1" fitToWidth="1"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8"/>
  <sheetViews>
    <sheetView zoomScale="68" zoomScaleNormal="68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20.574218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10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39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302</v>
      </c>
      <c r="N8" s="48">
        <v>5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277.2</v>
      </c>
      <c r="J9" s="73"/>
      <c r="K9" s="73"/>
      <c r="L9" s="47"/>
      <c r="M9" s="48" t="s">
        <v>301</v>
      </c>
      <c r="N9" s="48"/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81</v>
      </c>
      <c r="J10" s="48"/>
      <c r="K10" s="48"/>
      <c r="L10" s="47"/>
      <c r="M10" s="74" t="s">
        <v>210</v>
      </c>
      <c r="N10" s="74">
        <v>1.2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8"/>
      <c r="L11" s="47"/>
      <c r="M11" s="48" t="s">
        <v>299</v>
      </c>
      <c r="N11" s="48">
        <v>2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8"/>
      <c r="L12" s="47"/>
      <c r="M12" s="48" t="s">
        <v>300</v>
      </c>
      <c r="N12" s="48"/>
      <c r="O12" s="48" t="s">
        <v>284</v>
      </c>
      <c r="P12" s="48"/>
    </row>
    <row r="13" spans="1:16" ht="16.5">
      <c r="A13" s="48">
        <v>1</v>
      </c>
      <c r="B13" s="393"/>
      <c r="C13" s="53" t="s">
        <v>177</v>
      </c>
      <c r="D13" s="48" t="s">
        <v>386</v>
      </c>
      <c r="E13" s="51">
        <f>N13*N14</f>
        <v>192</v>
      </c>
      <c r="F13" s="377"/>
      <c r="G13" s="52">
        <f>E13*F13</f>
        <v>0</v>
      </c>
      <c r="H13" s="7"/>
      <c r="I13" s="48"/>
      <c r="J13" s="48"/>
      <c r="K13" s="48"/>
      <c r="L13" s="47"/>
      <c r="M13" s="48" t="s">
        <v>213</v>
      </c>
      <c r="N13" s="48">
        <v>120</v>
      </c>
      <c r="O13" s="48" t="s">
        <v>175</v>
      </c>
      <c r="P13" s="48"/>
    </row>
    <row r="14" spans="1:16" ht="28.5">
      <c r="A14" s="48">
        <v>2</v>
      </c>
      <c r="B14" s="393"/>
      <c r="C14" s="77" t="s">
        <v>268</v>
      </c>
      <c r="D14" s="50" t="s">
        <v>385</v>
      </c>
      <c r="E14" s="51">
        <f>E13*0.1</f>
        <v>19.200000000000003</v>
      </c>
      <c r="F14" s="377"/>
      <c r="G14" s="52">
        <f>E14*F14</f>
        <v>0</v>
      </c>
      <c r="H14" s="7"/>
      <c r="I14" s="48"/>
      <c r="J14" s="48"/>
      <c r="K14" s="48"/>
      <c r="L14" s="47"/>
      <c r="M14" s="48" t="s">
        <v>209</v>
      </c>
      <c r="N14" s="5">
        <v>1.6</v>
      </c>
      <c r="O14" s="48" t="s">
        <v>253</v>
      </c>
      <c r="P14" s="48"/>
    </row>
    <row r="15" spans="1:16" ht="28.5">
      <c r="A15" s="496">
        <v>3</v>
      </c>
      <c r="B15" s="408"/>
      <c r="C15" s="44" t="s">
        <v>198</v>
      </c>
      <c r="D15" s="43"/>
      <c r="E15" s="43"/>
      <c r="F15" s="45"/>
      <c r="G15" s="45"/>
      <c r="H15" s="4"/>
      <c r="I15" s="48"/>
      <c r="J15" s="48"/>
      <c r="K15" s="48"/>
      <c r="L15" s="75"/>
      <c r="M15" s="48" t="s">
        <v>208</v>
      </c>
      <c r="N15" s="48">
        <f>N9*N10*N12*2+N8*2*2*2</f>
        <v>40</v>
      </c>
      <c r="O15" s="48" t="s">
        <v>209</v>
      </c>
      <c r="P15" s="48"/>
    </row>
    <row r="16" spans="1:16" ht="16.5">
      <c r="A16" s="497">
        <f>A15+1</f>
        <v>4</v>
      </c>
      <c r="B16" s="393"/>
      <c r="C16" s="49" t="s">
        <v>264</v>
      </c>
      <c r="D16" s="50" t="s">
        <v>385</v>
      </c>
      <c r="E16" s="51">
        <f>0.7*I17</f>
        <v>250.73999999999998</v>
      </c>
      <c r="F16" s="377"/>
      <c r="G16" s="52">
        <f>E16*F16</f>
        <v>0</v>
      </c>
      <c r="H16" s="7"/>
      <c r="I16" s="48"/>
      <c r="J16" s="48"/>
      <c r="K16" s="48"/>
      <c r="L16" s="75"/>
      <c r="M16" s="48" t="s">
        <v>212</v>
      </c>
      <c r="N16" s="48">
        <v>2</v>
      </c>
      <c r="O16" s="48" t="s">
        <v>216</v>
      </c>
      <c r="P16" s="48"/>
    </row>
    <row r="17" spans="1:14" ht="16.5">
      <c r="A17" s="497">
        <f>A16+1</f>
        <v>5</v>
      </c>
      <c r="B17" s="393"/>
      <c r="C17" s="53" t="s">
        <v>263</v>
      </c>
      <c r="D17" s="50" t="s">
        <v>385</v>
      </c>
      <c r="E17" s="51">
        <f>0.05*I17</f>
        <v>17.91</v>
      </c>
      <c r="F17" s="377"/>
      <c r="G17" s="52">
        <f>E17*F17</f>
        <v>0</v>
      </c>
      <c r="H17" s="7"/>
      <c r="I17" s="76">
        <f>SUM(I9:I16)</f>
        <v>358.2</v>
      </c>
      <c r="J17" s="76">
        <f>SUM(J9:J16)</f>
        <v>0</v>
      </c>
      <c r="K17" s="76">
        <f>SUM(K9:K16)</f>
        <v>0</v>
      </c>
      <c r="L17" s="48">
        <f>SUM(I17:K17)</f>
        <v>358.2</v>
      </c>
      <c r="M17" s="48"/>
      <c r="N17" s="48"/>
    </row>
    <row r="18" spans="1:14" ht="16.5">
      <c r="A18" s="498">
        <f>A17+1</f>
        <v>6</v>
      </c>
      <c r="B18" s="393"/>
      <c r="C18" s="49" t="s">
        <v>265</v>
      </c>
      <c r="D18" s="50" t="s">
        <v>385</v>
      </c>
      <c r="E18" s="51">
        <f>0.25*I17</f>
        <v>89.55</v>
      </c>
      <c r="F18" s="377"/>
      <c r="G18" s="52">
        <f>E18*F18</f>
        <v>0</v>
      </c>
      <c r="H18" s="7"/>
      <c r="I18" s="34"/>
      <c r="J18" s="34"/>
      <c r="K18" s="34"/>
      <c r="L18" s="34"/>
      <c r="M18" s="76"/>
      <c r="N18" s="76"/>
    </row>
    <row r="19" spans="1:14" ht="15" customHeight="1">
      <c r="A19" s="496">
        <v>4</v>
      </c>
      <c r="B19" s="409"/>
      <c r="C19" s="53" t="s">
        <v>176</v>
      </c>
      <c r="D19" s="96"/>
      <c r="E19" s="96"/>
      <c r="F19" s="52"/>
      <c r="G19" s="97"/>
      <c r="H19" s="4"/>
      <c r="I19" s="34"/>
      <c r="J19" s="34"/>
      <c r="K19" s="34"/>
      <c r="L19" s="34"/>
      <c r="M19" s="34"/>
      <c r="N19" s="34"/>
    </row>
    <row r="20" spans="1:13" ht="16.5">
      <c r="A20" s="497"/>
      <c r="B20" s="393"/>
      <c r="C20" s="49" t="s">
        <v>199</v>
      </c>
      <c r="D20" s="50" t="s">
        <v>385</v>
      </c>
      <c r="E20" s="51">
        <f>0.6*N15</f>
        <v>24</v>
      </c>
      <c r="F20" s="377"/>
      <c r="G20" s="52">
        <f aca="true" t="shared" si="0" ref="G20:G34">E20*F20</f>
        <v>0</v>
      </c>
      <c r="H20" s="7"/>
      <c r="I20" s="34"/>
      <c r="J20" s="34"/>
      <c r="K20" s="34"/>
      <c r="L20" s="34"/>
      <c r="M20" s="34"/>
    </row>
    <row r="21" spans="1:13" ht="15" customHeight="1">
      <c r="A21" s="497"/>
      <c r="B21" s="393"/>
      <c r="C21" s="53" t="s">
        <v>266</v>
      </c>
      <c r="D21" s="50" t="s">
        <v>385</v>
      </c>
      <c r="E21" s="51">
        <f>0.05*N15</f>
        <v>2</v>
      </c>
      <c r="F21" s="377"/>
      <c r="G21" s="52">
        <f t="shared" si="0"/>
        <v>0</v>
      </c>
      <c r="H21" s="7"/>
      <c r="I21" s="34"/>
      <c r="J21" s="34"/>
      <c r="K21" s="34"/>
      <c r="L21" s="34"/>
      <c r="M21" s="34"/>
    </row>
    <row r="22" spans="1:12" ht="15" customHeight="1">
      <c r="A22" s="498"/>
      <c r="B22" s="393"/>
      <c r="C22" s="49" t="s">
        <v>267</v>
      </c>
      <c r="D22" s="50" t="s">
        <v>385</v>
      </c>
      <c r="E22" s="51">
        <f>0.35*N15</f>
        <v>14</v>
      </c>
      <c r="F22" s="377"/>
      <c r="G22" s="52">
        <f t="shared" si="0"/>
        <v>0</v>
      </c>
      <c r="H22" s="7"/>
      <c r="I22" s="34"/>
      <c r="J22" s="34"/>
      <c r="K22" s="34"/>
      <c r="L22" s="34"/>
    </row>
    <row r="23" spans="1:12" ht="28.5">
      <c r="A23" s="48">
        <v>5</v>
      </c>
      <c r="B23" s="393"/>
      <c r="C23" s="80" t="s">
        <v>196</v>
      </c>
      <c r="D23" s="50" t="s">
        <v>385</v>
      </c>
      <c r="E23" s="51">
        <f>E18+E22</f>
        <v>103.55</v>
      </c>
      <c r="F23" s="377"/>
      <c r="G23" s="52">
        <f t="shared" si="0"/>
        <v>0</v>
      </c>
      <c r="H23" s="7"/>
      <c r="I23" s="34"/>
      <c r="J23" s="34"/>
      <c r="K23" s="34"/>
      <c r="L23" s="34"/>
    </row>
    <row r="24" spans="1:12" ht="16.5">
      <c r="A24" s="48">
        <v>6</v>
      </c>
      <c r="B24" s="393"/>
      <c r="C24" s="55" t="s">
        <v>197</v>
      </c>
      <c r="D24" s="50" t="s">
        <v>385</v>
      </c>
      <c r="E24" s="81">
        <f>E23</f>
        <v>103.55</v>
      </c>
      <c r="F24" s="377"/>
      <c r="G24" s="52">
        <f t="shared" si="0"/>
        <v>0</v>
      </c>
      <c r="H24" s="7"/>
      <c r="I24" s="34"/>
      <c r="J24" s="34"/>
      <c r="K24" s="34"/>
      <c r="L24" s="34"/>
    </row>
    <row r="25" spans="1:12" ht="16.5">
      <c r="A25" s="48">
        <v>7</v>
      </c>
      <c r="B25" s="393"/>
      <c r="C25" s="80" t="s">
        <v>72</v>
      </c>
      <c r="D25" s="50" t="s">
        <v>385</v>
      </c>
      <c r="E25" s="51">
        <f>L17+N15</f>
        <v>398.2</v>
      </c>
      <c r="F25" s="377"/>
      <c r="G25" s="52">
        <f t="shared" si="0"/>
        <v>0</v>
      </c>
      <c r="H25" s="7"/>
      <c r="I25" s="34"/>
      <c r="J25" s="34"/>
      <c r="K25" s="34"/>
      <c r="L25" s="34"/>
    </row>
    <row r="26" spans="1:12" ht="16.5" customHeight="1">
      <c r="A26" s="48">
        <v>8</v>
      </c>
      <c r="B26" s="393"/>
      <c r="C26" s="49" t="s">
        <v>387</v>
      </c>
      <c r="D26" s="48" t="s">
        <v>386</v>
      </c>
      <c r="E26" s="48">
        <f>N13*4</f>
        <v>480</v>
      </c>
      <c r="F26" s="377"/>
      <c r="G26" s="52">
        <f t="shared" si="0"/>
        <v>0</v>
      </c>
      <c r="H26" s="7"/>
      <c r="I26" s="34"/>
      <c r="J26" s="34"/>
      <c r="K26" s="34"/>
      <c r="L26" s="34"/>
    </row>
    <row r="27" spans="1:12" ht="15" customHeight="1">
      <c r="A27" s="48">
        <v>9</v>
      </c>
      <c r="B27" s="393"/>
      <c r="C27" s="80" t="s">
        <v>42</v>
      </c>
      <c r="D27" s="50" t="s">
        <v>385</v>
      </c>
      <c r="E27" s="51">
        <f>0.1*1.1*E29</f>
        <v>13.200000000000001</v>
      </c>
      <c r="F27" s="377"/>
      <c r="G27" s="52">
        <f t="shared" si="0"/>
        <v>0</v>
      </c>
      <c r="H27" s="7"/>
      <c r="I27" s="34"/>
      <c r="J27" s="34"/>
      <c r="K27" s="34"/>
      <c r="L27" s="98"/>
    </row>
    <row r="28" spans="1:8" ht="42.75">
      <c r="A28" s="48">
        <v>10</v>
      </c>
      <c r="B28" s="393"/>
      <c r="C28" s="53" t="s">
        <v>43</v>
      </c>
      <c r="D28" s="50" t="s">
        <v>385</v>
      </c>
      <c r="E28" s="51">
        <f>E25-E27-8.48</f>
        <v>376.52</v>
      </c>
      <c r="F28" s="377"/>
      <c r="G28" s="52">
        <f t="shared" si="0"/>
        <v>0</v>
      </c>
      <c r="H28" s="7"/>
    </row>
    <row r="29" spans="1:12" ht="14.25">
      <c r="A29" s="48">
        <v>11</v>
      </c>
      <c r="B29" s="393"/>
      <c r="C29" s="53" t="s">
        <v>291</v>
      </c>
      <c r="D29" s="48" t="s">
        <v>190</v>
      </c>
      <c r="E29" s="48">
        <f>N13</f>
        <v>120</v>
      </c>
      <c r="F29" s="377"/>
      <c r="G29" s="52">
        <f t="shared" si="0"/>
        <v>0</v>
      </c>
      <c r="H29" s="7"/>
      <c r="I29" s="30"/>
      <c r="J29" s="30"/>
      <c r="K29" s="30"/>
      <c r="L29" s="30"/>
    </row>
    <row r="30" spans="1:8" ht="28.5">
      <c r="A30" s="48">
        <v>12</v>
      </c>
      <c r="B30" s="393"/>
      <c r="C30" s="53" t="s">
        <v>309</v>
      </c>
      <c r="D30" s="48" t="s">
        <v>191</v>
      </c>
      <c r="E30" s="48">
        <f>N16</f>
        <v>2</v>
      </c>
      <c r="F30" s="377"/>
      <c r="G30" s="52">
        <f t="shared" si="0"/>
        <v>0</v>
      </c>
      <c r="H30" s="7"/>
    </row>
    <row r="31" spans="1:16" s="30" customFormat="1" ht="14.25">
      <c r="A31" s="48">
        <v>13</v>
      </c>
      <c r="B31" s="393"/>
      <c r="C31" s="53" t="s">
        <v>200</v>
      </c>
      <c r="D31" s="48" t="s">
        <v>191</v>
      </c>
      <c r="E31" s="48">
        <f>N8</f>
        <v>5</v>
      </c>
      <c r="F31" s="377"/>
      <c r="G31" s="52">
        <f t="shared" si="0"/>
        <v>0</v>
      </c>
      <c r="H31" s="7"/>
      <c r="I31" s="29"/>
      <c r="J31" s="29"/>
      <c r="K31" s="29"/>
      <c r="L31" s="29"/>
      <c r="M31" s="29"/>
      <c r="N31" s="29"/>
      <c r="O31" s="29"/>
      <c r="P31" s="29"/>
    </row>
    <row r="32" spans="1:8" ht="14.25">
      <c r="A32" s="48">
        <v>14</v>
      </c>
      <c r="B32" s="393"/>
      <c r="C32" s="49" t="s">
        <v>192</v>
      </c>
      <c r="D32" s="48" t="s">
        <v>193</v>
      </c>
      <c r="E32" s="51">
        <f>40*N13/2000</f>
        <v>2.4</v>
      </c>
      <c r="F32" s="377"/>
      <c r="G32" s="52">
        <f t="shared" si="0"/>
        <v>0</v>
      </c>
      <c r="H32" s="7"/>
    </row>
    <row r="33" spans="1:8" ht="16.5">
      <c r="A33" s="48">
        <v>15</v>
      </c>
      <c r="B33" s="393"/>
      <c r="C33" s="53" t="s">
        <v>180</v>
      </c>
      <c r="D33" s="48" t="s">
        <v>386</v>
      </c>
      <c r="E33" s="84">
        <f>E13</f>
        <v>192</v>
      </c>
      <c r="F33" s="377"/>
      <c r="G33" s="52">
        <f t="shared" si="0"/>
        <v>0</v>
      </c>
      <c r="H33" s="7"/>
    </row>
    <row r="34" spans="1:16" s="30" customFormat="1" ht="14.25">
      <c r="A34" s="48">
        <v>16</v>
      </c>
      <c r="B34" s="393"/>
      <c r="C34" s="55" t="s">
        <v>201</v>
      </c>
      <c r="D34" s="50" t="s">
        <v>190</v>
      </c>
      <c r="E34" s="50">
        <f>N13</f>
        <v>120</v>
      </c>
      <c r="F34" s="377"/>
      <c r="G34" s="52">
        <f t="shared" si="0"/>
        <v>0</v>
      </c>
      <c r="H34" s="7"/>
      <c r="I34" s="29"/>
      <c r="J34" s="29"/>
      <c r="K34" s="29"/>
      <c r="L34" s="29"/>
      <c r="M34" s="29"/>
      <c r="N34" s="29"/>
      <c r="O34" s="29"/>
      <c r="P34" s="29"/>
    </row>
    <row r="35" spans="5:8" ht="15">
      <c r="E35" s="57"/>
      <c r="F35" s="58" t="s">
        <v>364</v>
      </c>
      <c r="G35" s="59">
        <f>SUM(G13:G34)</f>
        <v>0</v>
      </c>
      <c r="H35" s="7"/>
    </row>
    <row r="36" spans="5:8" ht="15">
      <c r="E36" s="484" t="s">
        <v>206</v>
      </c>
      <c r="F36" s="484"/>
      <c r="G36" s="59">
        <f>G35*0.2</f>
        <v>0</v>
      </c>
      <c r="H36" s="7"/>
    </row>
    <row r="37" spans="3:8" ht="15">
      <c r="C37" s="26"/>
      <c r="E37" s="57"/>
      <c r="F37" s="60" t="s">
        <v>365</v>
      </c>
      <c r="G37" s="59">
        <f>SUM(G35:G36)</f>
        <v>0</v>
      </c>
      <c r="H37" s="7"/>
    </row>
    <row r="38" spans="3:5" ht="14.25">
      <c r="C38" s="61"/>
      <c r="D38" s="62"/>
      <c r="E38" s="62"/>
    </row>
    <row r="39" spans="2:16" ht="18.75">
      <c r="B39" s="63" t="s">
        <v>370</v>
      </c>
      <c r="C39" s="64" t="s">
        <v>371</v>
      </c>
      <c r="D39" s="62"/>
      <c r="E39" s="62"/>
      <c r="H39" s="28"/>
      <c r="I39" s="28"/>
      <c r="J39" s="28"/>
      <c r="K39" s="28"/>
      <c r="L39" s="28"/>
      <c r="M39" s="28"/>
      <c r="N39" s="28"/>
      <c r="O39" s="28"/>
      <c r="P39" s="28"/>
    </row>
    <row r="40" spans="8:16" ht="14.25">
      <c r="H40" s="28"/>
      <c r="I40" s="28"/>
      <c r="J40" s="28"/>
      <c r="K40" s="28"/>
      <c r="L40" s="28"/>
      <c r="M40" s="28"/>
      <c r="N40" s="28"/>
      <c r="O40" s="28"/>
      <c r="P40" s="28"/>
    </row>
    <row r="41" spans="8:16" ht="15" customHeight="1">
      <c r="H41" s="28"/>
      <c r="I41" s="28"/>
      <c r="J41" s="28"/>
      <c r="K41" s="28"/>
      <c r="L41" s="28"/>
      <c r="M41" s="28"/>
      <c r="N41" s="28"/>
      <c r="O41" s="28"/>
      <c r="P41" s="28"/>
    </row>
    <row r="42" spans="8:16" ht="14.25">
      <c r="H42" s="28"/>
      <c r="I42" s="28"/>
      <c r="J42" s="28"/>
      <c r="K42" s="28"/>
      <c r="L42" s="28"/>
      <c r="M42" s="28"/>
      <c r="N42" s="28"/>
      <c r="O42" s="28"/>
      <c r="P42" s="28"/>
    </row>
    <row r="43" spans="1:5" s="67" customFormat="1" ht="15">
      <c r="A43" s="65" t="s">
        <v>373</v>
      </c>
      <c r="B43" s="2"/>
      <c r="C43" s="65"/>
      <c r="D43" s="66" t="s">
        <v>374</v>
      </c>
      <c r="E43" s="24"/>
    </row>
    <row r="44" spans="1:5" s="67" customFormat="1" ht="12.75">
      <c r="A44" s="11"/>
      <c r="B44" s="2"/>
      <c r="C44" s="11"/>
      <c r="D44" s="2"/>
      <c r="E44" s="24"/>
    </row>
    <row r="45" spans="1:5" s="67" customFormat="1" ht="14.25">
      <c r="A45" s="11"/>
      <c r="B45" s="2"/>
      <c r="C45" s="68"/>
      <c r="D45" s="69" t="s">
        <v>375</v>
      </c>
      <c r="E45" s="24"/>
    </row>
    <row r="46" spans="1:5" s="67" customFormat="1" ht="12.75">
      <c r="A46" s="11"/>
      <c r="B46" s="2"/>
      <c r="C46" s="11"/>
      <c r="D46" s="2"/>
      <c r="E46" s="70" t="s">
        <v>376</v>
      </c>
    </row>
    <row r="47" spans="1:5" s="67" customFormat="1" ht="14.25">
      <c r="A47" s="11"/>
      <c r="B47" s="2"/>
      <c r="C47" s="68"/>
      <c r="D47" s="69" t="s">
        <v>377</v>
      </c>
      <c r="E47" s="24"/>
    </row>
    <row r="48" spans="1:5" s="67" customFormat="1" ht="12.75">
      <c r="A48" s="11"/>
      <c r="B48" s="2"/>
      <c r="C48" s="11"/>
      <c r="D48" s="71" t="s">
        <v>378</v>
      </c>
      <c r="E48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39:E48" name="Range1"/>
    <protectedRange password="CF7A" sqref="A9:A12 C9:E12 B9:B10 B12" name="Range1_2"/>
    <protectedRange password="CF7A" sqref="F36 E35:E37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36:F36"/>
    <mergeCell ref="A19:A22"/>
    <mergeCell ref="A15:A18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5748031496062992" top="0.4330708661417323" bottom="0.5118110236220472" header="0.3937007874015748" footer="0.3937007874015748"/>
  <pageSetup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7"/>
  <sheetViews>
    <sheetView zoomScale="62" zoomScaleNormal="62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22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2" width="9.140625" style="29" customWidth="1"/>
    <col min="13" max="13" width="11.140625" style="29" bestFit="1" customWidth="1"/>
    <col min="14" max="14" width="9.57421875" style="29" customWidth="1"/>
    <col min="15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11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40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350</v>
      </c>
      <c r="M8" s="48"/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78.14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20.35</v>
      </c>
      <c r="J10" s="48"/>
      <c r="K10" s="47"/>
      <c r="L10" s="48" t="s">
        <v>207</v>
      </c>
      <c r="M10" s="48"/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36.38</v>
      </c>
      <c r="J11" s="48"/>
      <c r="K11" s="47"/>
      <c r="L11" s="48" t="s">
        <v>213</v>
      </c>
      <c r="M11" s="48">
        <v>22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2.1</v>
      </c>
      <c r="N12" s="48" t="s">
        <v>284</v>
      </c>
      <c r="O12" s="48"/>
    </row>
    <row r="13" spans="1:15" ht="14.25">
      <c r="A13" s="48">
        <v>1</v>
      </c>
      <c r="B13" s="393"/>
      <c r="C13" s="53" t="s">
        <v>258</v>
      </c>
      <c r="D13" s="48" t="s">
        <v>190</v>
      </c>
      <c r="E13" s="51">
        <f>6*2</f>
        <v>12</v>
      </c>
      <c r="F13" s="377"/>
      <c r="G13" s="52">
        <f>E13*F13</f>
        <v>0</v>
      </c>
      <c r="H13" s="7"/>
      <c r="I13" s="48"/>
      <c r="J13" s="48"/>
      <c r="K13" s="47"/>
      <c r="L13" s="48" t="s">
        <v>208</v>
      </c>
      <c r="M13" s="48">
        <f>M8*M9*M10*2</f>
        <v>0</v>
      </c>
      <c r="N13" s="48" t="s">
        <v>285</v>
      </c>
      <c r="O13" s="48"/>
    </row>
    <row r="14" spans="1:15" ht="28.5">
      <c r="A14" s="48">
        <v>2</v>
      </c>
      <c r="B14" s="393"/>
      <c r="C14" s="53" t="s">
        <v>260</v>
      </c>
      <c r="D14" s="48" t="s">
        <v>386</v>
      </c>
      <c r="E14" s="51">
        <f>6*M12</f>
        <v>12.600000000000001</v>
      </c>
      <c r="F14" s="377"/>
      <c r="G14" s="52">
        <f>E14*F14</f>
        <v>0</v>
      </c>
      <c r="H14" s="7"/>
      <c r="I14" s="48"/>
      <c r="J14" s="48"/>
      <c r="K14" s="47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93"/>
      <c r="C15" s="77" t="s">
        <v>268</v>
      </c>
      <c r="D15" s="50" t="s">
        <v>385</v>
      </c>
      <c r="E15" s="51">
        <f>E14*0.1</f>
        <v>1.2600000000000002</v>
      </c>
      <c r="F15" s="377"/>
      <c r="G15" s="52">
        <f>E15*F15</f>
        <v>0</v>
      </c>
      <c r="H15" s="7"/>
      <c r="I15" s="48"/>
      <c r="J15" s="48"/>
      <c r="K15" s="75"/>
      <c r="L15" s="48"/>
      <c r="M15" s="48"/>
      <c r="N15" s="48" t="s">
        <v>209</v>
      </c>
      <c r="O15" s="48"/>
    </row>
    <row r="16" spans="1:15" ht="28.5">
      <c r="A16" s="485">
        <v>4</v>
      </c>
      <c r="B16" s="393"/>
      <c r="C16" s="53" t="s">
        <v>198</v>
      </c>
      <c r="D16" s="48"/>
      <c r="E16" s="48"/>
      <c r="F16" s="377"/>
      <c r="G16" s="52"/>
      <c r="H16" s="7"/>
      <c r="I16" s="76">
        <f>SUM(I9:I15)</f>
        <v>134.87</v>
      </c>
      <c r="J16" s="76">
        <f>SUM(J9:J15)</f>
        <v>0</v>
      </c>
      <c r="K16" s="48">
        <f>SUM(I16:J16)</f>
        <v>134.87</v>
      </c>
      <c r="L16" s="76"/>
      <c r="M16" s="76"/>
      <c r="N16" s="48" t="s">
        <v>216</v>
      </c>
      <c r="O16" s="48"/>
    </row>
    <row r="17" spans="1:13" ht="16.5">
      <c r="A17" s="485">
        <f>A16+1</f>
        <v>5</v>
      </c>
      <c r="B17" s="393"/>
      <c r="C17" s="49" t="s">
        <v>264</v>
      </c>
      <c r="D17" s="50" t="s">
        <v>385</v>
      </c>
      <c r="E17" s="51">
        <f>0.7*I16</f>
        <v>94.40899999999999</v>
      </c>
      <c r="F17" s="377"/>
      <c r="G17" s="52">
        <f>E17*F17</f>
        <v>0</v>
      </c>
      <c r="H17" s="7"/>
      <c r="I17" s="34"/>
      <c r="J17" s="34"/>
      <c r="K17" s="34"/>
      <c r="L17" s="34"/>
      <c r="M17" s="34"/>
    </row>
    <row r="18" spans="1:13" ht="16.5">
      <c r="A18" s="485">
        <f>A17+1</f>
        <v>6</v>
      </c>
      <c r="B18" s="393"/>
      <c r="C18" s="53" t="s">
        <v>263</v>
      </c>
      <c r="D18" s="50" t="s">
        <v>385</v>
      </c>
      <c r="E18" s="51">
        <f>0.05*I16</f>
        <v>6.743500000000001</v>
      </c>
      <c r="F18" s="377"/>
      <c r="G18" s="52">
        <f>E18*F18</f>
        <v>0</v>
      </c>
      <c r="H18" s="7"/>
      <c r="I18" s="34"/>
      <c r="J18" s="34"/>
      <c r="K18" s="34"/>
      <c r="L18" s="34"/>
      <c r="M18" s="34"/>
    </row>
    <row r="19" spans="1:13" ht="16.5">
      <c r="A19" s="485">
        <f>A18+1</f>
        <v>7</v>
      </c>
      <c r="B19" s="393"/>
      <c r="C19" s="49" t="s">
        <v>265</v>
      </c>
      <c r="D19" s="50" t="s">
        <v>385</v>
      </c>
      <c r="E19" s="51">
        <f>0.25*I16</f>
        <v>33.7175</v>
      </c>
      <c r="F19" s="377"/>
      <c r="G19" s="52">
        <f>E19*F19</f>
        <v>0</v>
      </c>
      <c r="H19" s="7"/>
      <c r="J19" s="34"/>
      <c r="K19" s="34"/>
      <c r="L19" s="34"/>
      <c r="M19" s="34"/>
    </row>
    <row r="20" spans="1:12" ht="28.5">
      <c r="A20" s="48">
        <v>5</v>
      </c>
      <c r="B20" s="393"/>
      <c r="C20" s="80" t="s">
        <v>196</v>
      </c>
      <c r="D20" s="50" t="s">
        <v>385</v>
      </c>
      <c r="E20" s="51">
        <f>E19</f>
        <v>33.7175</v>
      </c>
      <c r="F20" s="377"/>
      <c r="G20" s="52">
        <f aca="true" t="shared" si="0" ref="G20:G43">E20*F20</f>
        <v>0</v>
      </c>
      <c r="H20" s="7"/>
      <c r="I20" s="34"/>
      <c r="J20" s="34"/>
      <c r="K20" s="34"/>
      <c r="L20" s="34"/>
    </row>
    <row r="21" spans="1:12" ht="16.5">
      <c r="A21" s="48">
        <v>6</v>
      </c>
      <c r="B21" s="393"/>
      <c r="C21" s="55" t="s">
        <v>197</v>
      </c>
      <c r="D21" s="50" t="s">
        <v>385</v>
      </c>
      <c r="E21" s="81">
        <f>E20</f>
        <v>33.7175</v>
      </c>
      <c r="F21" s="377"/>
      <c r="G21" s="52">
        <f t="shared" si="0"/>
        <v>0</v>
      </c>
      <c r="H21" s="7"/>
      <c r="I21" s="34"/>
      <c r="J21" s="34"/>
      <c r="K21" s="34"/>
      <c r="L21" s="34"/>
    </row>
    <row r="22" spans="1:11" ht="28.5">
      <c r="A22" s="48">
        <v>7</v>
      </c>
      <c r="B22" s="393"/>
      <c r="C22" s="80" t="s">
        <v>41</v>
      </c>
      <c r="D22" s="50" t="s">
        <v>385</v>
      </c>
      <c r="E22" s="51">
        <f>K16+M13</f>
        <v>134.87</v>
      </c>
      <c r="F22" s="377"/>
      <c r="G22" s="52">
        <f t="shared" si="0"/>
        <v>0</v>
      </c>
      <c r="H22" s="7"/>
      <c r="I22" s="34"/>
      <c r="J22" s="34"/>
      <c r="K22" s="34"/>
    </row>
    <row r="23" spans="1:11" ht="15" customHeight="1">
      <c r="A23" s="48">
        <v>8</v>
      </c>
      <c r="B23" s="393"/>
      <c r="C23" s="49" t="s">
        <v>387</v>
      </c>
      <c r="D23" s="48" t="s">
        <v>386</v>
      </c>
      <c r="E23" s="48">
        <f>M11*4</f>
        <v>88</v>
      </c>
      <c r="F23" s="377"/>
      <c r="G23" s="52">
        <f t="shared" si="0"/>
        <v>0</v>
      </c>
      <c r="H23" s="7"/>
      <c r="I23" s="34"/>
      <c r="J23" s="34"/>
      <c r="K23" s="34"/>
    </row>
    <row r="24" spans="1:11" ht="30" customHeight="1">
      <c r="A24" s="48">
        <v>9</v>
      </c>
      <c r="B24" s="393"/>
      <c r="C24" s="80" t="s">
        <v>42</v>
      </c>
      <c r="D24" s="50" t="s">
        <v>385</v>
      </c>
      <c r="E24" s="51">
        <f>0.1*1.1*E27+0.1*1.6*E28</f>
        <v>3.2700000000000005</v>
      </c>
      <c r="F24" s="377"/>
      <c r="G24" s="52">
        <f t="shared" si="0"/>
        <v>0</v>
      </c>
      <c r="H24" s="7"/>
      <c r="I24" s="34"/>
      <c r="J24" s="34"/>
      <c r="K24" s="34"/>
    </row>
    <row r="25" spans="1:11" ht="42.75">
      <c r="A25" s="48">
        <v>10</v>
      </c>
      <c r="B25" s="393"/>
      <c r="C25" s="53" t="s">
        <v>74</v>
      </c>
      <c r="D25" s="50" t="s">
        <v>385</v>
      </c>
      <c r="E25" s="51">
        <f>E22-E24-E26-E33-3.01</f>
        <v>54.50999999999999</v>
      </c>
      <c r="F25" s="377"/>
      <c r="G25" s="52">
        <f t="shared" si="0"/>
        <v>0</v>
      </c>
      <c r="H25" s="7"/>
      <c r="I25" s="34"/>
      <c r="J25" s="34"/>
      <c r="K25" s="34"/>
    </row>
    <row r="26" spans="1:8" ht="28.5">
      <c r="A26" s="48">
        <v>11</v>
      </c>
      <c r="B26" s="393"/>
      <c r="C26" s="53" t="s">
        <v>129</v>
      </c>
      <c r="D26" s="50" t="s">
        <v>385</v>
      </c>
      <c r="E26" s="51">
        <v>59.12</v>
      </c>
      <c r="F26" s="377"/>
      <c r="G26" s="52">
        <f t="shared" si="0"/>
        <v>0</v>
      </c>
      <c r="H26" s="7"/>
    </row>
    <row r="27" spans="1:8" ht="14.25">
      <c r="A27" s="48">
        <v>12</v>
      </c>
      <c r="B27" s="393"/>
      <c r="C27" s="53" t="s">
        <v>291</v>
      </c>
      <c r="D27" s="48" t="s">
        <v>190</v>
      </c>
      <c r="E27" s="48">
        <v>5</v>
      </c>
      <c r="F27" s="377"/>
      <c r="G27" s="52">
        <f t="shared" si="0"/>
        <v>0</v>
      </c>
      <c r="H27" s="7"/>
    </row>
    <row r="28" spans="1:13" ht="14.25">
      <c r="A28" s="48">
        <v>13</v>
      </c>
      <c r="B28" s="393"/>
      <c r="C28" s="53" t="s">
        <v>307</v>
      </c>
      <c r="D28" s="48" t="s">
        <v>190</v>
      </c>
      <c r="E28" s="48">
        <v>17</v>
      </c>
      <c r="F28" s="377"/>
      <c r="G28" s="52">
        <f t="shared" si="0"/>
        <v>0</v>
      </c>
      <c r="H28" s="7"/>
      <c r="M28" s="34"/>
    </row>
    <row r="29" spans="1:14" ht="28.5">
      <c r="A29" s="48">
        <v>14</v>
      </c>
      <c r="B29" s="393"/>
      <c r="C29" s="53" t="s">
        <v>352</v>
      </c>
      <c r="D29" s="48" t="s">
        <v>191</v>
      </c>
      <c r="E29" s="48">
        <f>M14</f>
        <v>2</v>
      </c>
      <c r="F29" s="377"/>
      <c r="G29" s="52">
        <f>E29*F29</f>
        <v>0</v>
      </c>
      <c r="H29" s="7"/>
      <c r="N29" s="34"/>
    </row>
    <row r="30" spans="1:15" ht="14.25">
      <c r="A30" s="48">
        <v>15</v>
      </c>
      <c r="B30" s="393"/>
      <c r="C30" s="49" t="s">
        <v>192</v>
      </c>
      <c r="D30" s="48" t="s">
        <v>193</v>
      </c>
      <c r="E30" s="51">
        <v>1</v>
      </c>
      <c r="F30" s="377"/>
      <c r="G30" s="52">
        <f t="shared" si="0"/>
        <v>0</v>
      </c>
      <c r="H30" s="7"/>
      <c r="O30" s="34"/>
    </row>
    <row r="31" spans="1:13" ht="30" customHeight="1">
      <c r="A31" s="48">
        <v>16</v>
      </c>
      <c r="B31" s="393"/>
      <c r="C31" s="77" t="s">
        <v>293</v>
      </c>
      <c r="D31" s="48" t="s">
        <v>195</v>
      </c>
      <c r="E31" s="82">
        <f>E14*96/1000</f>
        <v>1.2096000000000002</v>
      </c>
      <c r="F31" s="377"/>
      <c r="G31" s="52">
        <f t="shared" si="0"/>
        <v>0</v>
      </c>
      <c r="H31" s="7"/>
      <c r="M31" s="30"/>
    </row>
    <row r="32" spans="1:8" ht="28.5">
      <c r="A32" s="48">
        <v>17</v>
      </c>
      <c r="B32" s="393"/>
      <c r="C32" s="53" t="s">
        <v>295</v>
      </c>
      <c r="D32" s="83" t="s">
        <v>195</v>
      </c>
      <c r="E32" s="51">
        <f>E14*0.06*2.4</f>
        <v>1.8144</v>
      </c>
      <c r="F32" s="377"/>
      <c r="G32" s="52">
        <f t="shared" si="0"/>
        <v>0</v>
      </c>
      <c r="H32" s="7"/>
    </row>
    <row r="33" spans="1:13" ht="28.5">
      <c r="A33" s="48">
        <v>18</v>
      </c>
      <c r="B33" s="393"/>
      <c r="C33" s="53" t="s">
        <v>21</v>
      </c>
      <c r="D33" s="83" t="s">
        <v>385</v>
      </c>
      <c r="E33" s="85">
        <v>14.96</v>
      </c>
      <c r="F33" s="377"/>
      <c r="G33" s="52">
        <f t="shared" si="0"/>
        <v>0</v>
      </c>
      <c r="H33" s="7"/>
      <c r="M33" s="34"/>
    </row>
    <row r="34" spans="1:13" ht="14.25">
      <c r="A34" s="48">
        <v>19</v>
      </c>
      <c r="B34" s="393"/>
      <c r="C34" s="77" t="s">
        <v>194</v>
      </c>
      <c r="D34" s="74" t="s">
        <v>190</v>
      </c>
      <c r="E34" s="85">
        <f>E13</f>
        <v>12</v>
      </c>
      <c r="F34" s="377"/>
      <c r="G34" s="52">
        <f t="shared" si="0"/>
        <v>0</v>
      </c>
      <c r="H34" s="7"/>
      <c r="M34" s="34"/>
    </row>
    <row r="35" spans="1:13" ht="28.5">
      <c r="A35" s="485">
        <v>20</v>
      </c>
      <c r="B35" s="393"/>
      <c r="C35" s="53" t="s">
        <v>132</v>
      </c>
      <c r="D35" s="74"/>
      <c r="E35" s="85"/>
      <c r="F35" s="377"/>
      <c r="G35" s="52"/>
      <c r="H35" s="7"/>
      <c r="M35" s="34"/>
    </row>
    <row r="36" spans="1:15" s="30" customFormat="1" ht="28.5">
      <c r="A36" s="485"/>
      <c r="B36" s="393"/>
      <c r="C36" s="80" t="s">
        <v>134</v>
      </c>
      <c r="D36" s="74" t="s">
        <v>386</v>
      </c>
      <c r="E36" s="85">
        <v>52</v>
      </c>
      <c r="F36" s="377"/>
      <c r="G36" s="90">
        <f aca="true" t="shared" si="1" ref="G36:G42">E36*F36</f>
        <v>0</v>
      </c>
      <c r="H36" s="8"/>
      <c r="L36" s="29"/>
      <c r="M36" s="29"/>
      <c r="N36" s="29"/>
      <c r="O36" s="29"/>
    </row>
    <row r="37" spans="1:15" ht="16.5">
      <c r="A37" s="485"/>
      <c r="B37" s="393"/>
      <c r="C37" s="53" t="s">
        <v>362</v>
      </c>
      <c r="D37" s="48" t="s">
        <v>385</v>
      </c>
      <c r="E37" s="91">
        <v>1.5</v>
      </c>
      <c r="F37" s="377"/>
      <c r="G37" s="52">
        <f t="shared" si="1"/>
        <v>0</v>
      </c>
      <c r="H37" s="7"/>
      <c r="L37" s="30"/>
      <c r="M37" s="30"/>
      <c r="N37" s="30"/>
      <c r="O37" s="30"/>
    </row>
    <row r="38" spans="1:8" ht="16.5">
      <c r="A38" s="485"/>
      <c r="B38" s="393"/>
      <c r="C38" s="53" t="s">
        <v>249</v>
      </c>
      <c r="D38" s="48" t="s">
        <v>385</v>
      </c>
      <c r="E38" s="51">
        <v>18</v>
      </c>
      <c r="F38" s="377"/>
      <c r="G38" s="52">
        <f t="shared" si="1"/>
        <v>0</v>
      </c>
      <c r="H38" s="7"/>
    </row>
    <row r="39" spans="1:8" ht="14.25">
      <c r="A39" s="485"/>
      <c r="B39" s="393"/>
      <c r="C39" s="53" t="s">
        <v>135</v>
      </c>
      <c r="D39" s="48" t="s">
        <v>191</v>
      </c>
      <c r="E39" s="51">
        <v>1</v>
      </c>
      <c r="F39" s="377"/>
      <c r="G39" s="52">
        <f t="shared" si="1"/>
        <v>0</v>
      </c>
      <c r="H39" s="7"/>
    </row>
    <row r="40" spans="1:16" ht="14.25">
      <c r="A40" s="485"/>
      <c r="B40" s="393"/>
      <c r="C40" s="53" t="s">
        <v>250</v>
      </c>
      <c r="D40" s="48" t="s">
        <v>251</v>
      </c>
      <c r="E40" s="48">
        <v>1281</v>
      </c>
      <c r="F40" s="377"/>
      <c r="G40" s="52">
        <f t="shared" si="1"/>
        <v>0</v>
      </c>
      <c r="H40" s="7"/>
      <c r="P40" s="6"/>
    </row>
    <row r="41" spans="1:16" ht="14.25">
      <c r="A41" s="485"/>
      <c r="B41" s="393"/>
      <c r="C41" s="53" t="s">
        <v>128</v>
      </c>
      <c r="D41" s="48" t="s">
        <v>191</v>
      </c>
      <c r="E41" s="48">
        <v>1</v>
      </c>
      <c r="F41" s="377"/>
      <c r="G41" s="52">
        <f t="shared" si="1"/>
        <v>0</v>
      </c>
      <c r="H41" s="7"/>
      <c r="O41" s="3"/>
      <c r="P41" s="6"/>
    </row>
    <row r="42" spans="1:16" ht="14.25">
      <c r="A42" s="48">
        <v>21</v>
      </c>
      <c r="B42" s="393"/>
      <c r="C42" s="53" t="s">
        <v>123</v>
      </c>
      <c r="D42" s="48" t="s">
        <v>191</v>
      </c>
      <c r="E42" s="48">
        <v>1</v>
      </c>
      <c r="F42" s="377"/>
      <c r="G42" s="52">
        <f t="shared" si="1"/>
        <v>0</v>
      </c>
      <c r="H42" s="7"/>
      <c r="O42" s="3"/>
      <c r="P42" s="6"/>
    </row>
    <row r="43" spans="1:15" ht="14.25">
      <c r="A43" s="48">
        <v>22</v>
      </c>
      <c r="B43" s="393"/>
      <c r="C43" s="55" t="s">
        <v>201</v>
      </c>
      <c r="D43" s="50" t="s">
        <v>190</v>
      </c>
      <c r="E43" s="50">
        <f>M11</f>
        <v>22</v>
      </c>
      <c r="F43" s="377"/>
      <c r="G43" s="52">
        <f t="shared" si="0"/>
        <v>0</v>
      </c>
      <c r="H43" s="34"/>
      <c r="O43" s="3"/>
    </row>
    <row r="44" spans="5:8" ht="15">
      <c r="E44" s="57"/>
      <c r="F44" s="58" t="s">
        <v>364</v>
      </c>
      <c r="G44" s="59">
        <f>SUM(G13:G43)</f>
        <v>0</v>
      </c>
      <c r="H44" s="7"/>
    </row>
    <row r="45" spans="5:15" ht="15">
      <c r="E45" s="484" t="s">
        <v>206</v>
      </c>
      <c r="F45" s="484"/>
      <c r="G45" s="59">
        <f>G44*0.2</f>
        <v>0</v>
      </c>
      <c r="H45" s="7"/>
      <c r="N45" s="30"/>
      <c r="O45" s="30"/>
    </row>
    <row r="46" spans="3:15" ht="15">
      <c r="C46" s="26"/>
      <c r="E46" s="57"/>
      <c r="F46" s="60" t="s">
        <v>365</v>
      </c>
      <c r="G46" s="59">
        <f>SUM(G44:G45)</f>
        <v>0</v>
      </c>
      <c r="H46" s="7"/>
      <c r="N46" s="30"/>
      <c r="O46" s="30"/>
    </row>
    <row r="47" spans="1:15" s="2" customFormat="1" ht="14.25">
      <c r="A47" s="29"/>
      <c r="B47" s="29"/>
      <c r="C47" s="61"/>
      <c r="D47" s="62"/>
      <c r="E47" s="62"/>
      <c r="F47" s="29"/>
      <c r="G47" s="29"/>
      <c r="H47" s="7"/>
      <c r="I47" s="29"/>
      <c r="J47" s="29"/>
      <c r="K47" s="29"/>
      <c r="L47" s="29"/>
      <c r="M47" s="3"/>
      <c r="N47" s="29"/>
      <c r="O47" s="29"/>
    </row>
    <row r="48" spans="2:16" ht="18.75">
      <c r="B48" s="63" t="s">
        <v>370</v>
      </c>
      <c r="C48" s="64" t="s">
        <v>371</v>
      </c>
      <c r="D48" s="62"/>
      <c r="E48" s="62"/>
      <c r="H48" s="28"/>
      <c r="I48" s="28"/>
      <c r="J48" s="28"/>
      <c r="K48" s="28"/>
      <c r="L48" s="28"/>
      <c r="M48" s="28"/>
      <c r="N48" s="28"/>
      <c r="O48" s="28"/>
      <c r="P48" s="28"/>
    </row>
    <row r="49" spans="8:16" ht="14.25">
      <c r="H49" s="28"/>
      <c r="I49" s="28"/>
      <c r="J49" s="28"/>
      <c r="K49" s="28"/>
      <c r="L49" s="28"/>
      <c r="M49" s="28"/>
      <c r="N49" s="28"/>
      <c r="O49" s="28"/>
      <c r="P49" s="28"/>
    </row>
    <row r="50" spans="8:16" ht="15" customHeight="1"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1:5" s="67" customFormat="1" ht="15">
      <c r="A52" s="65" t="s">
        <v>373</v>
      </c>
      <c r="B52" s="2"/>
      <c r="C52" s="65"/>
      <c r="D52" s="66" t="s">
        <v>374</v>
      </c>
      <c r="E52" s="24"/>
    </row>
    <row r="53" spans="1:5" s="67" customFormat="1" ht="12.75">
      <c r="A53" s="11"/>
      <c r="B53" s="2"/>
      <c r="C53" s="11"/>
      <c r="D53" s="2"/>
      <c r="E53" s="24"/>
    </row>
    <row r="54" spans="1:5" s="67" customFormat="1" ht="14.25">
      <c r="A54" s="11"/>
      <c r="B54" s="2"/>
      <c r="C54" s="68"/>
      <c r="D54" s="69" t="s">
        <v>375</v>
      </c>
      <c r="E54" s="24"/>
    </row>
    <row r="55" spans="1:5" s="67" customFormat="1" ht="12.75">
      <c r="A55" s="11"/>
      <c r="B55" s="2"/>
      <c r="C55" s="11"/>
      <c r="D55" s="2"/>
      <c r="E55" s="70" t="s">
        <v>376</v>
      </c>
    </row>
    <row r="56" spans="1:5" s="67" customFormat="1" ht="14.25">
      <c r="A56" s="11"/>
      <c r="B56" s="2"/>
      <c r="C56" s="68"/>
      <c r="D56" s="69" t="s">
        <v>377</v>
      </c>
      <c r="E56" s="24"/>
    </row>
    <row r="57" spans="1:5" s="67" customFormat="1" ht="12.75">
      <c r="A57" s="11"/>
      <c r="B57" s="2"/>
      <c r="C57" s="11"/>
      <c r="D57" s="71" t="s">
        <v>378</v>
      </c>
      <c r="E57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48:E57" name="Range1"/>
    <protectedRange password="CF7A" sqref="A9:A12 C9:E12 B9:B10 B12" name="Range1_2"/>
    <protectedRange password="CF7A" sqref="F45 E44:E46" name="Range1_1"/>
    <protectedRange password="CF7A" sqref="A6:E7" name="Range1_3"/>
  </protectedRanges>
  <mergeCells count="19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5:F45"/>
    <mergeCell ref="A16:A19"/>
    <mergeCell ref="A35:A41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95" zoomScaleNormal="95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71093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7.8515625" style="29" customWidth="1"/>
    <col min="9" max="9" width="8.00390625" style="29" bestFit="1" customWidth="1"/>
    <col min="10" max="10" width="8.57421875" style="29" customWidth="1"/>
    <col min="11" max="11" width="7.8515625" style="29" customWidth="1"/>
    <col min="12" max="12" width="8.7109375" style="29" customWidth="1"/>
    <col min="13" max="13" width="8.8515625" style="29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12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41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ht="15">
      <c r="A8" s="505" t="s">
        <v>214</v>
      </c>
      <c r="B8" s="505"/>
      <c r="C8" s="504" t="s">
        <v>380</v>
      </c>
      <c r="D8" s="504"/>
      <c r="E8" s="504"/>
      <c r="F8" s="504"/>
      <c r="G8" s="504"/>
      <c r="H8" s="27"/>
      <c r="I8" s="27"/>
      <c r="J8" s="27"/>
      <c r="K8" s="27"/>
      <c r="L8" s="28"/>
      <c r="M8" s="28"/>
      <c r="N8" s="28"/>
      <c r="O8" s="28"/>
      <c r="P8" s="28"/>
    </row>
    <row r="9" spans="1:14" ht="15">
      <c r="A9" s="1"/>
      <c r="B9" s="1"/>
      <c r="C9" s="26"/>
      <c r="D9" s="26"/>
      <c r="E9" s="26"/>
      <c r="F9" s="26"/>
      <c r="G9" s="26"/>
      <c r="H9" s="26"/>
      <c r="I9" s="16"/>
      <c r="J9" s="16"/>
      <c r="K9" s="16"/>
      <c r="L9" s="6"/>
      <c r="M9" s="6"/>
      <c r="N9" s="34"/>
    </row>
    <row r="10" spans="1:14" s="30" customFormat="1" ht="23.25" customHeight="1" thickBot="1">
      <c r="A10" s="499"/>
      <c r="B10" s="499"/>
      <c r="C10" s="499"/>
      <c r="D10" s="499"/>
      <c r="E10" s="499"/>
      <c r="F10" s="499"/>
      <c r="G10" s="499"/>
      <c r="H10" s="36"/>
      <c r="I10" s="12" t="s">
        <v>204</v>
      </c>
      <c r="J10" s="12" t="s">
        <v>205</v>
      </c>
      <c r="K10" s="12" t="s">
        <v>305</v>
      </c>
      <c r="L10" s="12" t="s">
        <v>23</v>
      </c>
      <c r="M10" s="17"/>
      <c r="N10" s="38"/>
    </row>
    <row r="11" spans="1:14" ht="15.75" customHeight="1" thickBot="1">
      <c r="A11" s="488"/>
      <c r="B11" s="488"/>
      <c r="C11" s="488"/>
      <c r="D11" s="488"/>
      <c r="E11" s="488"/>
      <c r="F11" s="26"/>
      <c r="G11" s="39" t="s">
        <v>367</v>
      </c>
      <c r="H11" s="26"/>
      <c r="I11" s="73">
        <v>420</v>
      </c>
      <c r="J11" s="73">
        <v>694.32</v>
      </c>
      <c r="K11" s="73"/>
      <c r="L11" s="73"/>
      <c r="M11" s="75"/>
      <c r="N11" s="34"/>
    </row>
    <row r="12" spans="1:14" ht="15.75" thickBot="1">
      <c r="A12" s="493" t="s">
        <v>372</v>
      </c>
      <c r="B12" s="490" t="s">
        <v>363</v>
      </c>
      <c r="C12" s="490" t="s">
        <v>369</v>
      </c>
      <c r="D12" s="489" t="s">
        <v>189</v>
      </c>
      <c r="E12" s="489" t="s">
        <v>366</v>
      </c>
      <c r="F12" s="490" t="s">
        <v>203</v>
      </c>
      <c r="G12" s="490" t="s">
        <v>368</v>
      </c>
      <c r="H12" s="40"/>
      <c r="I12" s="48">
        <v>94.5</v>
      </c>
      <c r="J12" s="48">
        <v>145.35</v>
      </c>
      <c r="K12" s="48"/>
      <c r="L12" s="48"/>
      <c r="M12" s="75"/>
      <c r="N12" s="34"/>
    </row>
    <row r="13" spans="1:16" ht="15" thickBot="1">
      <c r="A13" s="494"/>
      <c r="B13" s="490"/>
      <c r="C13" s="490"/>
      <c r="D13" s="489"/>
      <c r="E13" s="489"/>
      <c r="F13" s="490"/>
      <c r="G13" s="490"/>
      <c r="H13" s="14"/>
      <c r="I13" s="48">
        <v>529</v>
      </c>
      <c r="J13" s="48"/>
      <c r="K13" s="48"/>
      <c r="L13" s="48"/>
      <c r="M13" s="75"/>
      <c r="N13" s="15"/>
      <c r="O13" s="15"/>
      <c r="P13" s="15"/>
    </row>
    <row r="14" spans="1:13" ht="15" thickBo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2"/>
      <c r="I14" s="48"/>
      <c r="J14" s="48"/>
      <c r="K14" s="48"/>
      <c r="L14" s="48"/>
      <c r="M14" s="75"/>
    </row>
    <row r="15" spans="1:13" ht="14.25">
      <c r="A15" s="48">
        <v>1</v>
      </c>
      <c r="B15" s="393"/>
      <c r="C15" s="53" t="s">
        <v>144</v>
      </c>
      <c r="D15" s="48" t="s">
        <v>190</v>
      </c>
      <c r="E15" s="51">
        <f>11*2</f>
        <v>22</v>
      </c>
      <c r="F15" s="377"/>
      <c r="G15" s="52">
        <f>E15*F15</f>
        <v>0</v>
      </c>
      <c r="H15" s="46"/>
      <c r="I15" s="48"/>
      <c r="J15" s="48"/>
      <c r="K15" s="48"/>
      <c r="L15" s="48"/>
      <c r="M15" s="75"/>
    </row>
    <row r="16" spans="1:13" ht="28.5">
      <c r="A16" s="48">
        <v>2</v>
      </c>
      <c r="B16" s="393"/>
      <c r="C16" s="53" t="s">
        <v>183</v>
      </c>
      <c r="D16" s="48" t="s">
        <v>386</v>
      </c>
      <c r="E16" s="51">
        <f>11*0.7</f>
        <v>7.699999999999999</v>
      </c>
      <c r="F16" s="377"/>
      <c r="G16" s="52">
        <f>E16*F16</f>
        <v>0</v>
      </c>
      <c r="H16" s="46"/>
      <c r="I16" s="48"/>
      <c r="J16" s="48"/>
      <c r="K16" s="48"/>
      <c r="L16" s="48"/>
      <c r="M16" s="75"/>
    </row>
    <row r="17" spans="1:13" ht="28.5">
      <c r="A17" s="48">
        <v>3</v>
      </c>
      <c r="B17" s="393"/>
      <c r="C17" s="77" t="s">
        <v>268</v>
      </c>
      <c r="D17" s="50" t="s">
        <v>385</v>
      </c>
      <c r="E17" s="51">
        <f>E16*0.1</f>
        <v>0.77</v>
      </c>
      <c r="F17" s="377"/>
      <c r="G17" s="52">
        <f>E17*F17</f>
        <v>0</v>
      </c>
      <c r="H17" s="46"/>
      <c r="I17" s="48"/>
      <c r="J17" s="48"/>
      <c r="K17" s="48"/>
      <c r="L17" s="48"/>
      <c r="M17" s="75"/>
    </row>
    <row r="18" spans="1:15" ht="28.5">
      <c r="A18" s="507">
        <v>4</v>
      </c>
      <c r="B18" s="455"/>
      <c r="C18" s="44" t="s">
        <v>136</v>
      </c>
      <c r="D18" s="43"/>
      <c r="E18" s="43"/>
      <c r="F18" s="403"/>
      <c r="G18" s="45"/>
      <c r="H18" s="4"/>
      <c r="I18" s="48"/>
      <c r="J18" s="48"/>
      <c r="K18" s="48"/>
      <c r="L18" s="48"/>
      <c r="M18" s="75"/>
      <c r="N18" s="34"/>
      <c r="O18" s="34"/>
    </row>
    <row r="19" spans="1:13" ht="16.5">
      <c r="A19" s="508">
        <f>A18+1</f>
        <v>5</v>
      </c>
      <c r="B19" s="406"/>
      <c r="C19" s="49" t="s">
        <v>140</v>
      </c>
      <c r="D19" s="50" t="s">
        <v>385</v>
      </c>
      <c r="E19" s="51">
        <f>0.9*I20</f>
        <v>939.15</v>
      </c>
      <c r="F19" s="377"/>
      <c r="G19" s="52">
        <f>E19*F19</f>
        <v>0</v>
      </c>
      <c r="H19" s="7"/>
      <c r="I19" s="48"/>
      <c r="J19" s="48"/>
      <c r="K19" s="48"/>
      <c r="L19" s="48"/>
      <c r="M19" s="75"/>
    </row>
    <row r="20" spans="1:13" ht="16.5">
      <c r="A20" s="508">
        <f>A19+1</f>
        <v>6</v>
      </c>
      <c r="B20" s="406"/>
      <c r="C20" s="53" t="s">
        <v>263</v>
      </c>
      <c r="D20" s="50" t="s">
        <v>385</v>
      </c>
      <c r="E20" s="51">
        <f>0.05*I20</f>
        <v>52.175000000000004</v>
      </c>
      <c r="F20" s="377"/>
      <c r="G20" s="52">
        <f>E20*F20</f>
        <v>0</v>
      </c>
      <c r="H20" s="7"/>
      <c r="I20" s="34">
        <f>SUM(I11:I19)</f>
        <v>1043.5</v>
      </c>
      <c r="J20" s="34">
        <f>SUM(J11:J19)</f>
        <v>839.6700000000001</v>
      </c>
      <c r="K20" s="34">
        <f>SUM(K11:K13)</f>
        <v>0</v>
      </c>
      <c r="L20" s="34">
        <f>SUM(L11:L13)</f>
        <v>0</v>
      </c>
      <c r="M20" s="48">
        <f>SUM(I20:L20)</f>
        <v>1883.17</v>
      </c>
    </row>
    <row r="21" spans="1:13" ht="15" customHeight="1">
      <c r="A21" s="509">
        <f>A20+1</f>
        <v>7</v>
      </c>
      <c r="B21" s="406"/>
      <c r="C21" s="49" t="s">
        <v>139</v>
      </c>
      <c r="D21" s="50" t="s">
        <v>385</v>
      </c>
      <c r="E21" s="51">
        <f>0.05*I20</f>
        <v>52.175000000000004</v>
      </c>
      <c r="F21" s="377"/>
      <c r="G21" s="52">
        <f>E21*F21</f>
        <v>0</v>
      </c>
      <c r="H21" s="7"/>
      <c r="I21" s="34"/>
      <c r="J21" s="34"/>
      <c r="K21" s="34"/>
      <c r="L21" s="34"/>
      <c r="M21" s="34"/>
    </row>
    <row r="22" spans="1:13" ht="28.5">
      <c r="A22" s="496">
        <v>5</v>
      </c>
      <c r="B22" s="413"/>
      <c r="C22" s="53" t="s">
        <v>137</v>
      </c>
      <c r="D22" s="48"/>
      <c r="E22" s="48"/>
      <c r="F22" s="411"/>
      <c r="G22" s="52"/>
      <c r="H22" s="4"/>
      <c r="I22" s="34"/>
      <c r="J22" s="34"/>
      <c r="K22" s="34"/>
      <c r="L22" s="34"/>
      <c r="M22" s="34"/>
    </row>
    <row r="23" spans="1:13" ht="16.5">
      <c r="A23" s="497">
        <f>A22+1</f>
        <v>6</v>
      </c>
      <c r="B23" s="393"/>
      <c r="C23" s="49" t="s">
        <v>140</v>
      </c>
      <c r="D23" s="50" t="s">
        <v>385</v>
      </c>
      <c r="E23" s="51">
        <f>0.9*J20</f>
        <v>755.7030000000001</v>
      </c>
      <c r="F23" s="377"/>
      <c r="G23" s="52">
        <f>E23*F23</f>
        <v>0</v>
      </c>
      <c r="H23" s="7"/>
      <c r="J23" s="34"/>
      <c r="K23" s="34"/>
      <c r="L23" s="34"/>
      <c r="M23" s="34"/>
    </row>
    <row r="24" spans="1:13" ht="16.5">
      <c r="A24" s="497">
        <f>A23+1</f>
        <v>7</v>
      </c>
      <c r="B24" s="393"/>
      <c r="C24" s="53" t="s">
        <v>263</v>
      </c>
      <c r="D24" s="50" t="s">
        <v>385</v>
      </c>
      <c r="E24" s="51">
        <f>0.05*J20</f>
        <v>41.98350000000001</v>
      </c>
      <c r="F24" s="377"/>
      <c r="G24" s="52">
        <f>E24*F24</f>
        <v>0</v>
      </c>
      <c r="H24" s="7"/>
      <c r="J24" s="34"/>
      <c r="K24" s="34"/>
      <c r="L24" s="34"/>
      <c r="M24" s="34"/>
    </row>
    <row r="25" spans="1:13" ht="15" customHeight="1">
      <c r="A25" s="498">
        <f>A24+1</f>
        <v>8</v>
      </c>
      <c r="B25" s="393"/>
      <c r="C25" s="49" t="s">
        <v>139</v>
      </c>
      <c r="D25" s="50" t="s">
        <v>385</v>
      </c>
      <c r="E25" s="51">
        <f>0.05*J20</f>
        <v>41.98350000000001</v>
      </c>
      <c r="F25" s="377"/>
      <c r="G25" s="52">
        <f>E25*F25</f>
        <v>0</v>
      </c>
      <c r="H25" s="7"/>
      <c r="I25" s="34"/>
      <c r="J25" s="34"/>
      <c r="K25" s="34"/>
      <c r="L25" s="34"/>
      <c r="M25" s="34"/>
    </row>
    <row r="26" spans="1:13" ht="28.5">
      <c r="A26" s="48">
        <v>6</v>
      </c>
      <c r="B26" s="393"/>
      <c r="C26" s="80" t="s">
        <v>196</v>
      </c>
      <c r="D26" s="50" t="s">
        <v>385</v>
      </c>
      <c r="E26" s="51">
        <f>E21+E25</f>
        <v>94.1585</v>
      </c>
      <c r="F26" s="377"/>
      <c r="G26" s="52">
        <f aca="true" t="shared" si="0" ref="G26:G38">E26*F26</f>
        <v>0</v>
      </c>
      <c r="H26" s="7"/>
      <c r="I26" s="34"/>
      <c r="J26" s="34"/>
      <c r="K26" s="34"/>
      <c r="L26" s="34"/>
      <c r="M26" s="34"/>
    </row>
    <row r="27" spans="1:13" ht="16.5">
      <c r="A27" s="48">
        <v>7</v>
      </c>
      <c r="B27" s="393"/>
      <c r="C27" s="80" t="s">
        <v>72</v>
      </c>
      <c r="D27" s="50" t="s">
        <v>385</v>
      </c>
      <c r="E27" s="51">
        <v>221.74</v>
      </c>
      <c r="F27" s="377"/>
      <c r="G27" s="52">
        <f t="shared" si="0"/>
        <v>0</v>
      </c>
      <c r="H27" s="7"/>
      <c r="I27" s="34"/>
      <c r="J27" s="34"/>
      <c r="K27" s="34"/>
      <c r="L27" s="34"/>
      <c r="M27" s="34"/>
    </row>
    <row r="28" spans="1:13" ht="16.5">
      <c r="A28" s="48">
        <v>8</v>
      </c>
      <c r="B28" s="393"/>
      <c r="C28" s="49" t="s">
        <v>387</v>
      </c>
      <c r="D28" s="48" t="s">
        <v>386</v>
      </c>
      <c r="E28" s="48">
        <f>271*4</f>
        <v>1084</v>
      </c>
      <c r="F28" s="377"/>
      <c r="G28" s="52">
        <f t="shared" si="0"/>
        <v>0</v>
      </c>
      <c r="H28" s="7"/>
      <c r="I28" s="34"/>
      <c r="J28" s="34"/>
      <c r="K28" s="34"/>
      <c r="L28" s="34"/>
      <c r="M28" s="34"/>
    </row>
    <row r="29" spans="1:13" ht="16.5">
      <c r="A29" s="48">
        <v>9</v>
      </c>
      <c r="B29" s="393"/>
      <c r="C29" s="80" t="s">
        <v>73</v>
      </c>
      <c r="D29" s="50" t="s">
        <v>385</v>
      </c>
      <c r="E29" s="51">
        <f>0.1*2.6*276+0.1*0.7*360</f>
        <v>96.96000000000001</v>
      </c>
      <c r="F29" s="377"/>
      <c r="G29" s="52">
        <f t="shared" si="0"/>
        <v>0</v>
      </c>
      <c r="H29" s="7"/>
      <c r="I29" s="34"/>
      <c r="J29" s="34"/>
      <c r="K29" s="34"/>
      <c r="L29" s="34"/>
      <c r="M29" s="34"/>
    </row>
    <row r="30" spans="1:8" ht="28.5">
      <c r="A30" s="48">
        <v>10</v>
      </c>
      <c r="B30" s="393"/>
      <c r="C30" s="53" t="s">
        <v>141</v>
      </c>
      <c r="D30" s="50" t="s">
        <v>385</v>
      </c>
      <c r="E30" s="51">
        <f>M20-E27-E29-E37</f>
        <v>1560.6200000000001</v>
      </c>
      <c r="F30" s="377"/>
      <c r="G30" s="52">
        <f t="shared" si="0"/>
        <v>0</v>
      </c>
      <c r="H30" s="7"/>
    </row>
    <row r="31" spans="1:14" ht="14.25">
      <c r="A31" s="48">
        <v>11</v>
      </c>
      <c r="B31" s="393"/>
      <c r="C31" s="53" t="s">
        <v>127</v>
      </c>
      <c r="D31" s="48" t="s">
        <v>190</v>
      </c>
      <c r="E31" s="48">
        <v>276</v>
      </c>
      <c r="F31" s="377"/>
      <c r="G31" s="52">
        <f t="shared" si="0"/>
        <v>0</v>
      </c>
      <c r="H31" s="7"/>
      <c r="N31" s="34"/>
    </row>
    <row r="32" spans="1:8" ht="28.5">
      <c r="A32" s="48">
        <v>12</v>
      </c>
      <c r="B32" s="393"/>
      <c r="C32" s="53" t="s">
        <v>352</v>
      </c>
      <c r="D32" s="48" t="s">
        <v>191</v>
      </c>
      <c r="E32" s="48">
        <v>2</v>
      </c>
      <c r="F32" s="377"/>
      <c r="G32" s="52">
        <f t="shared" si="0"/>
        <v>0</v>
      </c>
      <c r="H32" s="7"/>
    </row>
    <row r="33" spans="1:14" ht="28.5">
      <c r="A33" s="48">
        <v>13</v>
      </c>
      <c r="B33" s="393"/>
      <c r="C33" s="53" t="s">
        <v>310</v>
      </c>
      <c r="D33" s="48" t="s">
        <v>191</v>
      </c>
      <c r="E33" s="48">
        <v>2</v>
      </c>
      <c r="F33" s="377"/>
      <c r="G33" s="52">
        <f t="shared" si="0"/>
        <v>0</v>
      </c>
      <c r="H33" s="7"/>
      <c r="N33" s="34"/>
    </row>
    <row r="34" spans="1:8" ht="14.25">
      <c r="A34" s="48">
        <v>14</v>
      </c>
      <c r="B34" s="393"/>
      <c r="C34" s="49" t="s">
        <v>192</v>
      </c>
      <c r="D34" s="48" t="s">
        <v>193</v>
      </c>
      <c r="E34" s="51">
        <f>40*271/2000</f>
        <v>5.42</v>
      </c>
      <c r="F34" s="377"/>
      <c r="G34" s="52">
        <f t="shared" si="0"/>
        <v>0</v>
      </c>
      <c r="H34" s="7"/>
    </row>
    <row r="35" spans="1:15" s="2" customFormat="1" ht="28.5">
      <c r="A35" s="48">
        <v>15</v>
      </c>
      <c r="B35" s="393"/>
      <c r="C35" s="77" t="s">
        <v>293</v>
      </c>
      <c r="D35" s="48" t="s">
        <v>195</v>
      </c>
      <c r="E35" s="82">
        <f>E16*96/1000</f>
        <v>0.7392</v>
      </c>
      <c r="F35" s="377"/>
      <c r="G35" s="52">
        <f t="shared" si="0"/>
        <v>0</v>
      </c>
      <c r="H35" s="7"/>
      <c r="I35" s="29"/>
      <c r="J35" s="29"/>
      <c r="K35" s="29"/>
      <c r="L35" s="29"/>
      <c r="M35" s="30"/>
      <c r="N35" s="29"/>
      <c r="O35" s="29"/>
    </row>
    <row r="36" spans="1:8" ht="28.5">
      <c r="A36" s="48">
        <v>16</v>
      </c>
      <c r="B36" s="393"/>
      <c r="C36" s="53" t="s">
        <v>295</v>
      </c>
      <c r="D36" s="83" t="s">
        <v>195</v>
      </c>
      <c r="E36" s="51">
        <f>E16*0.06*2.4</f>
        <v>1.1087999999999998</v>
      </c>
      <c r="F36" s="377"/>
      <c r="G36" s="52">
        <f t="shared" si="0"/>
        <v>0</v>
      </c>
      <c r="H36" s="7"/>
    </row>
    <row r="37" spans="1:15" s="2" customFormat="1" ht="28.5">
      <c r="A37" s="48">
        <v>17</v>
      </c>
      <c r="B37" s="393"/>
      <c r="C37" s="53" t="s">
        <v>21</v>
      </c>
      <c r="D37" s="83" t="s">
        <v>385</v>
      </c>
      <c r="E37" s="85">
        <v>3.85</v>
      </c>
      <c r="F37" s="377"/>
      <c r="G37" s="52">
        <f t="shared" si="0"/>
        <v>0</v>
      </c>
      <c r="H37" s="7"/>
      <c r="I37" s="29"/>
      <c r="J37" s="29"/>
      <c r="K37" s="29"/>
      <c r="L37" s="29"/>
      <c r="M37" s="3"/>
      <c r="N37" s="29"/>
      <c r="O37" s="29"/>
    </row>
    <row r="38" spans="1:8" ht="14.25">
      <c r="A38" s="48">
        <v>18</v>
      </c>
      <c r="B38" s="393"/>
      <c r="C38" s="77" t="s">
        <v>194</v>
      </c>
      <c r="D38" s="74" t="s">
        <v>190</v>
      </c>
      <c r="E38" s="85">
        <f>E15</f>
        <v>22</v>
      </c>
      <c r="F38" s="377"/>
      <c r="G38" s="52">
        <f t="shared" si="0"/>
        <v>0</v>
      </c>
      <c r="H38" s="56"/>
    </row>
    <row r="39" spans="1:13" s="30" customFormat="1" ht="14.25">
      <c r="A39" s="48">
        <v>19</v>
      </c>
      <c r="B39" s="393"/>
      <c r="C39" s="77" t="s">
        <v>133</v>
      </c>
      <c r="D39" s="48" t="s">
        <v>191</v>
      </c>
      <c r="E39" s="85">
        <v>1</v>
      </c>
      <c r="F39" s="377"/>
      <c r="G39" s="52">
        <f>E39*F39</f>
        <v>0</v>
      </c>
      <c r="H39" s="8"/>
      <c r="I39" s="29"/>
      <c r="J39" s="29"/>
      <c r="K39" s="29"/>
      <c r="L39" s="29"/>
      <c r="M39" s="29"/>
    </row>
    <row r="40" spans="1:16" ht="14.25">
      <c r="A40" s="48">
        <v>20</v>
      </c>
      <c r="B40" s="393"/>
      <c r="C40" s="55" t="s">
        <v>201</v>
      </c>
      <c r="D40" s="50" t="s">
        <v>190</v>
      </c>
      <c r="E40" s="50">
        <v>821</v>
      </c>
      <c r="F40" s="377"/>
      <c r="G40" s="52">
        <f>E40*F40</f>
        <v>0</v>
      </c>
      <c r="H40" s="7"/>
      <c r="N40" s="30"/>
      <c r="O40" s="3"/>
      <c r="P40" s="6"/>
    </row>
    <row r="41" spans="1:8" ht="16.5">
      <c r="A41" s="48">
        <v>21</v>
      </c>
      <c r="B41" s="404"/>
      <c r="C41" s="88" t="s">
        <v>86</v>
      </c>
      <c r="D41" s="83" t="s">
        <v>385</v>
      </c>
      <c r="E41" s="89">
        <v>19.6</v>
      </c>
      <c r="F41" s="377"/>
      <c r="G41" s="45">
        <f>E41*F41</f>
        <v>0</v>
      </c>
      <c r="H41" s="7"/>
    </row>
    <row r="42" spans="1:8" ht="16.5">
      <c r="A42" s="48">
        <v>22</v>
      </c>
      <c r="B42" s="404"/>
      <c r="C42" s="88" t="s">
        <v>71</v>
      </c>
      <c r="D42" s="83" t="s">
        <v>385</v>
      </c>
      <c r="E42" s="89">
        <f>E41</f>
        <v>19.6</v>
      </c>
      <c r="F42" s="377"/>
      <c r="G42" s="45">
        <f>E42*F42</f>
        <v>0</v>
      </c>
      <c r="H42" s="7"/>
    </row>
    <row r="43" spans="1:8" ht="28.5">
      <c r="A43" s="496">
        <v>23</v>
      </c>
      <c r="B43" s="412"/>
      <c r="C43" s="44" t="s">
        <v>117</v>
      </c>
      <c r="D43" s="86"/>
      <c r="E43" s="89"/>
      <c r="F43" s="403"/>
      <c r="G43" s="45"/>
      <c r="H43" s="4"/>
    </row>
    <row r="44" spans="1:8" s="30" customFormat="1" ht="28.5">
      <c r="A44" s="497"/>
      <c r="B44" s="393"/>
      <c r="C44" s="80" t="s">
        <v>114</v>
      </c>
      <c r="D44" s="74" t="s">
        <v>386</v>
      </c>
      <c r="E44" s="85">
        <v>32</v>
      </c>
      <c r="F44" s="377"/>
      <c r="G44" s="90">
        <f aca="true" t="shared" si="1" ref="G44:G71">E44*F44</f>
        <v>0</v>
      </c>
      <c r="H44" s="8"/>
    </row>
    <row r="45" spans="1:8" ht="16.5">
      <c r="A45" s="497"/>
      <c r="B45" s="393"/>
      <c r="C45" s="53" t="s">
        <v>115</v>
      </c>
      <c r="D45" s="48" t="s">
        <v>385</v>
      </c>
      <c r="E45" s="91">
        <v>0.5</v>
      </c>
      <c r="F45" s="377"/>
      <c r="G45" s="52">
        <f t="shared" si="1"/>
        <v>0</v>
      </c>
      <c r="H45" s="7"/>
    </row>
    <row r="46" spans="1:8" ht="16.5">
      <c r="A46" s="497"/>
      <c r="B46" s="393"/>
      <c r="C46" s="53" t="s">
        <v>116</v>
      </c>
      <c r="D46" s="48" t="s">
        <v>385</v>
      </c>
      <c r="E46" s="91">
        <v>4.5</v>
      </c>
      <c r="F46" s="377"/>
      <c r="G46" s="52">
        <f t="shared" si="1"/>
        <v>0</v>
      </c>
      <c r="H46" s="7"/>
    </row>
    <row r="47" spans="1:8" ht="28.5">
      <c r="A47" s="497"/>
      <c r="B47" s="393"/>
      <c r="C47" s="53" t="s">
        <v>118</v>
      </c>
      <c r="D47" s="48" t="s">
        <v>191</v>
      </c>
      <c r="E47" s="51">
        <v>1</v>
      </c>
      <c r="F47" s="377"/>
      <c r="G47" s="52">
        <f t="shared" si="1"/>
        <v>0</v>
      </c>
      <c r="H47" s="7"/>
    </row>
    <row r="48" spans="1:16" ht="14.25">
      <c r="A48" s="498"/>
      <c r="B48" s="393"/>
      <c r="C48" s="53" t="s">
        <v>111</v>
      </c>
      <c r="D48" s="48" t="s">
        <v>251</v>
      </c>
      <c r="E48" s="48">
        <v>420</v>
      </c>
      <c r="F48" s="377"/>
      <c r="G48" s="52">
        <f t="shared" si="1"/>
        <v>0</v>
      </c>
      <c r="H48" s="7"/>
      <c r="O48" s="3"/>
      <c r="P48" s="6"/>
    </row>
    <row r="49" spans="1:16" ht="14.25">
      <c r="A49" s="48">
        <v>24</v>
      </c>
      <c r="B49" s="393"/>
      <c r="C49" s="55" t="s">
        <v>143</v>
      </c>
      <c r="D49" s="50" t="s">
        <v>190</v>
      </c>
      <c r="E49" s="50">
        <v>550</v>
      </c>
      <c r="F49" s="377"/>
      <c r="G49" s="52">
        <f t="shared" si="1"/>
        <v>0</v>
      </c>
      <c r="H49" s="7"/>
      <c r="N49" s="30"/>
      <c r="O49" s="3"/>
      <c r="P49" s="6"/>
    </row>
    <row r="50" spans="1:16" ht="14.25">
      <c r="A50" s="48">
        <v>25</v>
      </c>
      <c r="B50" s="393"/>
      <c r="C50" s="55" t="s">
        <v>95</v>
      </c>
      <c r="D50" s="50" t="s">
        <v>190</v>
      </c>
      <c r="E50" s="50">
        <v>48</v>
      </c>
      <c r="F50" s="377"/>
      <c r="G50" s="52">
        <f>E50*F50</f>
        <v>0</v>
      </c>
      <c r="H50" s="7"/>
      <c r="N50" s="30"/>
      <c r="O50" s="3"/>
      <c r="P50" s="6"/>
    </row>
    <row r="51" spans="1:16" ht="14.25">
      <c r="A51" s="48">
        <v>26</v>
      </c>
      <c r="B51" s="393"/>
      <c r="C51" s="55" t="s">
        <v>104</v>
      </c>
      <c r="D51" s="50" t="s">
        <v>190</v>
      </c>
      <c r="E51" s="50">
        <v>8</v>
      </c>
      <c r="F51" s="377"/>
      <c r="G51" s="52">
        <f>E51*F51</f>
        <v>0</v>
      </c>
      <c r="H51" s="7"/>
      <c r="N51" s="30"/>
      <c r="O51" s="3"/>
      <c r="P51" s="6"/>
    </row>
    <row r="52" spans="1:16" ht="14.25">
      <c r="A52" s="48">
        <v>27</v>
      </c>
      <c r="B52" s="393"/>
      <c r="C52" s="55" t="s">
        <v>100</v>
      </c>
      <c r="D52" s="50" t="s">
        <v>190</v>
      </c>
      <c r="E52" s="50">
        <v>3</v>
      </c>
      <c r="F52" s="377"/>
      <c r="G52" s="52">
        <f t="shared" si="1"/>
        <v>0</v>
      </c>
      <c r="H52" s="7"/>
      <c r="N52" s="30"/>
      <c r="O52" s="3"/>
      <c r="P52" s="6"/>
    </row>
    <row r="53" spans="1:16" ht="14.25">
      <c r="A53" s="48">
        <v>28</v>
      </c>
      <c r="B53" s="393"/>
      <c r="C53" s="55" t="s">
        <v>101</v>
      </c>
      <c r="D53" s="50" t="s">
        <v>190</v>
      </c>
      <c r="E53" s="50">
        <v>2</v>
      </c>
      <c r="F53" s="377"/>
      <c r="G53" s="52">
        <f>E53*F53</f>
        <v>0</v>
      </c>
      <c r="H53" s="7"/>
      <c r="N53" s="30"/>
      <c r="O53" s="3"/>
      <c r="P53" s="6"/>
    </row>
    <row r="54" spans="1:16" ht="15" customHeight="1">
      <c r="A54" s="74">
        <v>29</v>
      </c>
      <c r="B54" s="406"/>
      <c r="C54" s="95" t="s">
        <v>94</v>
      </c>
      <c r="D54" s="83" t="s">
        <v>191</v>
      </c>
      <c r="E54" s="50">
        <v>1</v>
      </c>
      <c r="F54" s="377"/>
      <c r="G54" s="52">
        <f>E54*F54</f>
        <v>0</v>
      </c>
      <c r="H54" s="7"/>
      <c r="N54" s="30"/>
      <c r="O54" s="3"/>
      <c r="P54" s="6"/>
    </row>
    <row r="55" spans="1:16" ht="28.5">
      <c r="A55" s="74">
        <v>30</v>
      </c>
      <c r="B55" s="406"/>
      <c r="C55" s="77" t="s">
        <v>96</v>
      </c>
      <c r="D55" s="50" t="s">
        <v>191</v>
      </c>
      <c r="E55" s="50">
        <v>2</v>
      </c>
      <c r="F55" s="377"/>
      <c r="G55" s="52">
        <f t="shared" si="1"/>
        <v>0</v>
      </c>
      <c r="H55" s="7"/>
      <c r="N55" s="30"/>
      <c r="O55" s="3"/>
      <c r="P55" s="6"/>
    </row>
    <row r="56" spans="1:16" ht="14.25">
      <c r="A56" s="87">
        <v>31</v>
      </c>
      <c r="B56" s="406"/>
      <c r="C56" s="456" t="s">
        <v>105</v>
      </c>
      <c r="D56" s="433" t="s">
        <v>191</v>
      </c>
      <c r="E56" s="433">
        <v>2</v>
      </c>
      <c r="F56" s="390"/>
      <c r="G56" s="104">
        <f t="shared" si="1"/>
        <v>0</v>
      </c>
      <c r="H56" s="7"/>
      <c r="N56" s="30"/>
      <c r="O56" s="3"/>
      <c r="P56" s="6"/>
    </row>
    <row r="57" spans="1:16" ht="14.25">
      <c r="A57" s="87">
        <v>32</v>
      </c>
      <c r="B57" s="406"/>
      <c r="C57" s="94" t="s">
        <v>106</v>
      </c>
      <c r="D57" s="50" t="s">
        <v>191</v>
      </c>
      <c r="E57" s="50">
        <v>3</v>
      </c>
      <c r="F57" s="377"/>
      <c r="G57" s="52">
        <f t="shared" si="1"/>
        <v>0</v>
      </c>
      <c r="H57" s="7"/>
      <c r="N57" s="30"/>
      <c r="O57" s="3"/>
      <c r="P57" s="6"/>
    </row>
    <row r="58" spans="1:16" ht="14.25">
      <c r="A58" s="87">
        <v>33</v>
      </c>
      <c r="B58" s="406"/>
      <c r="C58" s="94" t="s">
        <v>113</v>
      </c>
      <c r="D58" s="50" t="s">
        <v>191</v>
      </c>
      <c r="E58" s="50">
        <v>1</v>
      </c>
      <c r="F58" s="377"/>
      <c r="G58" s="52">
        <f t="shared" si="1"/>
        <v>0</v>
      </c>
      <c r="H58" s="7"/>
      <c r="N58" s="30"/>
      <c r="O58" s="3"/>
      <c r="P58" s="6"/>
    </row>
    <row r="59" spans="1:15" ht="14.25">
      <c r="A59" s="87">
        <v>34</v>
      </c>
      <c r="B59" s="406"/>
      <c r="C59" s="53" t="s">
        <v>388</v>
      </c>
      <c r="D59" s="50" t="s">
        <v>190</v>
      </c>
      <c r="E59" s="51">
        <v>48</v>
      </c>
      <c r="F59" s="377"/>
      <c r="G59" s="52">
        <f t="shared" si="1"/>
        <v>0</v>
      </c>
      <c r="H59" s="7"/>
      <c r="O59" s="6"/>
    </row>
    <row r="60" spans="1:15" ht="14.25">
      <c r="A60" s="87">
        <v>35</v>
      </c>
      <c r="B60" s="407"/>
      <c r="C60" s="55" t="s">
        <v>92</v>
      </c>
      <c r="D60" s="50" t="s">
        <v>191</v>
      </c>
      <c r="E60" s="50">
        <v>1</v>
      </c>
      <c r="F60" s="377"/>
      <c r="G60" s="52">
        <f t="shared" si="1"/>
        <v>0</v>
      </c>
      <c r="H60" s="7"/>
      <c r="O60" s="6"/>
    </row>
    <row r="61" spans="1:13" s="30" customFormat="1" ht="14.25">
      <c r="A61" s="87">
        <v>36</v>
      </c>
      <c r="B61" s="407"/>
      <c r="C61" s="55" t="s">
        <v>93</v>
      </c>
      <c r="D61" s="50" t="s">
        <v>191</v>
      </c>
      <c r="E61" s="50">
        <v>2</v>
      </c>
      <c r="F61" s="377"/>
      <c r="G61" s="52">
        <f t="shared" si="1"/>
        <v>0</v>
      </c>
      <c r="H61" s="8"/>
      <c r="I61" s="29"/>
      <c r="J61" s="29"/>
      <c r="K61" s="29"/>
      <c r="L61" s="29"/>
      <c r="M61" s="29"/>
    </row>
    <row r="62" spans="1:13" s="30" customFormat="1" ht="14.25">
      <c r="A62" s="87">
        <v>37</v>
      </c>
      <c r="B62" s="407"/>
      <c r="C62" s="55" t="s">
        <v>102</v>
      </c>
      <c r="D62" s="50" t="s">
        <v>191</v>
      </c>
      <c r="E62" s="50">
        <v>2</v>
      </c>
      <c r="F62" s="377"/>
      <c r="G62" s="52">
        <f t="shared" si="1"/>
        <v>0</v>
      </c>
      <c r="H62" s="8"/>
      <c r="I62" s="29"/>
      <c r="J62" s="29"/>
      <c r="K62" s="29"/>
      <c r="L62" s="29"/>
      <c r="M62" s="29"/>
    </row>
    <row r="63" spans="1:13" s="30" customFormat="1" ht="14.25">
      <c r="A63" s="87">
        <v>38</v>
      </c>
      <c r="B63" s="407"/>
      <c r="C63" s="55" t="s">
        <v>103</v>
      </c>
      <c r="D63" s="50" t="s">
        <v>191</v>
      </c>
      <c r="E63" s="50">
        <v>2</v>
      </c>
      <c r="F63" s="377"/>
      <c r="G63" s="52">
        <f t="shared" si="1"/>
        <v>0</v>
      </c>
      <c r="H63" s="8"/>
      <c r="I63" s="29"/>
      <c r="J63" s="29"/>
      <c r="K63" s="29"/>
      <c r="L63" s="29"/>
      <c r="M63" s="29"/>
    </row>
    <row r="64" spans="1:13" s="30" customFormat="1" ht="14.25">
      <c r="A64" s="87">
        <v>39</v>
      </c>
      <c r="B64" s="407"/>
      <c r="C64" s="55" t="s">
        <v>327</v>
      </c>
      <c r="D64" s="50" t="s">
        <v>191</v>
      </c>
      <c r="E64" s="50">
        <v>2</v>
      </c>
      <c r="F64" s="377"/>
      <c r="G64" s="52">
        <f t="shared" si="1"/>
        <v>0</v>
      </c>
      <c r="H64" s="8"/>
      <c r="I64" s="29"/>
      <c r="J64" s="29"/>
      <c r="K64" s="29"/>
      <c r="L64" s="29"/>
      <c r="M64" s="29"/>
    </row>
    <row r="65" spans="1:13" s="30" customFormat="1" ht="28.5">
      <c r="A65" s="87">
        <v>40</v>
      </c>
      <c r="B65" s="407"/>
      <c r="C65" s="95" t="s">
        <v>389</v>
      </c>
      <c r="D65" s="83" t="s">
        <v>191</v>
      </c>
      <c r="E65" s="83">
        <v>16</v>
      </c>
      <c r="F65" s="377"/>
      <c r="G65" s="52">
        <f t="shared" si="1"/>
        <v>0</v>
      </c>
      <c r="H65" s="8"/>
      <c r="I65" s="29"/>
      <c r="J65" s="29"/>
      <c r="K65" s="29"/>
      <c r="L65" s="29"/>
      <c r="M65" s="29"/>
    </row>
    <row r="66" spans="1:7" ht="14.25">
      <c r="A66" s="87">
        <v>41</v>
      </c>
      <c r="B66" s="407"/>
      <c r="C66" s="55" t="s">
        <v>354</v>
      </c>
      <c r="D66" s="50" t="s">
        <v>191</v>
      </c>
      <c r="E66" s="81">
        <f>5*(598/100)</f>
        <v>29.900000000000002</v>
      </c>
      <c r="F66" s="377"/>
      <c r="G66" s="52">
        <f t="shared" si="1"/>
        <v>0</v>
      </c>
    </row>
    <row r="67" spans="1:7" ht="15" customHeight="1">
      <c r="A67" s="86">
        <v>42</v>
      </c>
      <c r="B67" s="405"/>
      <c r="C67" s="92" t="s">
        <v>121</v>
      </c>
      <c r="D67" s="93" t="s">
        <v>191</v>
      </c>
      <c r="E67" s="93">
        <v>2</v>
      </c>
      <c r="F67" s="377"/>
      <c r="G67" s="45">
        <f>E67*F67</f>
        <v>0</v>
      </c>
    </row>
    <row r="68" spans="1:7" ht="15" customHeight="1">
      <c r="A68" s="74">
        <v>43</v>
      </c>
      <c r="B68" s="406"/>
      <c r="C68" s="95" t="s">
        <v>122</v>
      </c>
      <c r="D68" s="50" t="s">
        <v>191</v>
      </c>
      <c r="E68" s="50">
        <v>1</v>
      </c>
      <c r="F68" s="377"/>
      <c r="G68" s="52">
        <f>E68*F68</f>
        <v>0</v>
      </c>
    </row>
    <row r="69" spans="1:7" ht="15" customHeight="1">
      <c r="A69" s="74">
        <v>44</v>
      </c>
      <c r="B69" s="406"/>
      <c r="C69" s="55" t="s">
        <v>112</v>
      </c>
      <c r="D69" s="50" t="s">
        <v>190</v>
      </c>
      <c r="E69" s="51">
        <v>5</v>
      </c>
      <c r="F69" s="377"/>
      <c r="G69" s="52">
        <f t="shared" si="1"/>
        <v>0</v>
      </c>
    </row>
    <row r="70" spans="1:7" ht="14.25">
      <c r="A70" s="48">
        <v>45</v>
      </c>
      <c r="B70" s="393"/>
      <c r="C70" s="55" t="s">
        <v>97</v>
      </c>
      <c r="D70" s="50" t="s">
        <v>191</v>
      </c>
      <c r="E70" s="81">
        <v>1</v>
      </c>
      <c r="F70" s="377"/>
      <c r="G70" s="52">
        <f t="shared" si="1"/>
        <v>0</v>
      </c>
    </row>
    <row r="71" spans="1:7" ht="14.25">
      <c r="A71" s="48">
        <v>46</v>
      </c>
      <c r="B71" s="393"/>
      <c r="C71" s="55" t="s">
        <v>98</v>
      </c>
      <c r="D71" s="50" t="s">
        <v>191</v>
      </c>
      <c r="E71" s="81">
        <v>1</v>
      </c>
      <c r="F71" s="377"/>
      <c r="G71" s="52">
        <f t="shared" si="1"/>
        <v>0</v>
      </c>
    </row>
    <row r="72" spans="5:9" ht="15">
      <c r="E72" s="57"/>
      <c r="F72" s="58" t="s">
        <v>364</v>
      </c>
      <c r="G72" s="59">
        <f>SUM(G15:G71)</f>
        <v>0</v>
      </c>
      <c r="H72" s="7"/>
      <c r="I72" s="7"/>
    </row>
    <row r="73" spans="5:13" ht="15">
      <c r="E73" s="484" t="s">
        <v>206</v>
      </c>
      <c r="F73" s="484"/>
      <c r="G73" s="59">
        <f>G72*0.2</f>
        <v>0</v>
      </c>
      <c r="I73" s="30"/>
      <c r="J73" s="30"/>
      <c r="K73" s="30"/>
      <c r="L73" s="30"/>
      <c r="M73" s="30"/>
    </row>
    <row r="74" spans="3:13" ht="15">
      <c r="C74" s="26"/>
      <c r="E74" s="57"/>
      <c r="F74" s="60" t="s">
        <v>365</v>
      </c>
      <c r="G74" s="59">
        <f>SUM(G72:G73)</f>
        <v>0</v>
      </c>
      <c r="I74" s="30"/>
      <c r="J74" s="30"/>
      <c r="K74" s="30"/>
      <c r="L74" s="30"/>
      <c r="M74" s="30"/>
    </row>
    <row r="75" spans="3:5" ht="14.25">
      <c r="C75" s="61"/>
      <c r="D75" s="62"/>
      <c r="E75" s="62"/>
    </row>
    <row r="76" spans="2:16" ht="18.75">
      <c r="B76" s="63" t="s">
        <v>370</v>
      </c>
      <c r="C76" s="64" t="s">
        <v>371</v>
      </c>
      <c r="D76" s="62"/>
      <c r="E76" s="62"/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4.2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 customHeight="1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4.25">
      <c r="H79" s="28"/>
      <c r="I79" s="28"/>
      <c r="J79" s="28"/>
      <c r="K79" s="28"/>
      <c r="L79" s="28"/>
      <c r="M79" s="28"/>
      <c r="N79" s="28"/>
      <c r="O79" s="28"/>
      <c r="P79" s="28"/>
    </row>
    <row r="80" spans="1:5" s="67" customFormat="1" ht="15">
      <c r="A80" s="65" t="s">
        <v>373</v>
      </c>
      <c r="B80" s="2"/>
      <c r="C80" s="65"/>
      <c r="D80" s="66" t="s">
        <v>374</v>
      </c>
      <c r="E80" s="24"/>
    </row>
    <row r="81" spans="1:5" s="67" customFormat="1" ht="12.75">
      <c r="A81" s="11"/>
      <c r="B81" s="2"/>
      <c r="C81" s="11"/>
      <c r="D81" s="2"/>
      <c r="E81" s="24"/>
    </row>
    <row r="82" spans="1:5" s="67" customFormat="1" ht="14.25">
      <c r="A82" s="11"/>
      <c r="B82" s="2"/>
      <c r="C82" s="68"/>
      <c r="D82" s="69" t="s">
        <v>375</v>
      </c>
      <c r="E82" s="24"/>
    </row>
    <row r="83" spans="1:5" s="67" customFormat="1" ht="12.75">
      <c r="A83" s="11"/>
      <c r="B83" s="2"/>
      <c r="C83" s="11"/>
      <c r="D83" s="2"/>
      <c r="E83" s="70" t="s">
        <v>376</v>
      </c>
    </row>
    <row r="84" spans="1:5" s="67" customFormat="1" ht="14.25">
      <c r="A84" s="11"/>
      <c r="B84" s="2"/>
      <c r="C84" s="68"/>
      <c r="D84" s="69" t="s">
        <v>377</v>
      </c>
      <c r="E84" s="24"/>
    </row>
    <row r="85" spans="1:5" s="67" customFormat="1" ht="12.75">
      <c r="A85" s="11"/>
      <c r="B85" s="2"/>
      <c r="C85" s="11"/>
      <c r="D85" s="71" t="s">
        <v>378</v>
      </c>
      <c r="E85" s="24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A76:E85" name="Range1"/>
    <protectedRange password="CF7A" sqref="A11:A14 C11:E14 B11:B12 B14" name="Range1_2"/>
    <protectedRange password="CF7A" sqref="F73 E72:E74" name="Range1_1"/>
    <protectedRange password="CF7A" sqref="A6:E8" name="Range1_3"/>
  </protectedRanges>
  <mergeCells count="22">
    <mergeCell ref="C1:G1"/>
    <mergeCell ref="C3:G3"/>
    <mergeCell ref="A4:B4"/>
    <mergeCell ref="C4:G4"/>
    <mergeCell ref="C5:G5"/>
    <mergeCell ref="A8:B8"/>
    <mergeCell ref="F6:F7"/>
    <mergeCell ref="A6:E7"/>
    <mergeCell ref="A10:G10"/>
    <mergeCell ref="C8:G8"/>
    <mergeCell ref="E73:F73"/>
    <mergeCell ref="A22:A25"/>
    <mergeCell ref="A43:A48"/>
    <mergeCell ref="D12:D13"/>
    <mergeCell ref="E12:E13"/>
    <mergeCell ref="F12:F13"/>
    <mergeCell ref="A18:A21"/>
    <mergeCell ref="A12:A13"/>
    <mergeCell ref="B12:B13"/>
    <mergeCell ref="C12:C13"/>
    <mergeCell ref="G12:G13"/>
    <mergeCell ref="A11:E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51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48"/>
  <sheetViews>
    <sheetView zoomScale="106" zoomScaleNormal="106" zoomScalePageLayoutView="0" workbookViewId="0" topLeftCell="A34">
      <selection activeCell="A35" sqref="A35:IV48"/>
    </sheetView>
  </sheetViews>
  <sheetFormatPr defaultColWidth="9.140625" defaultRowHeight="12.75"/>
  <cols>
    <col min="1" max="1" width="7.28125" style="29" customWidth="1"/>
    <col min="2" max="2" width="18.4218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13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42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1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/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1383.25</v>
      </c>
      <c r="J9" s="73"/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339.53</v>
      </c>
      <c r="J10" s="48"/>
      <c r="K10" s="48"/>
      <c r="L10" s="47"/>
      <c r="M10" s="48" t="s">
        <v>351</v>
      </c>
      <c r="N10" s="48"/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8"/>
      <c r="L11" s="47"/>
      <c r="M11" s="48" t="s">
        <v>213</v>
      </c>
      <c r="N11" s="48">
        <v>503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8"/>
      <c r="L12" s="47"/>
      <c r="M12" s="48" t="s">
        <v>209</v>
      </c>
      <c r="N12" s="5">
        <v>1.6</v>
      </c>
      <c r="O12" s="48" t="s">
        <v>284</v>
      </c>
      <c r="P12" s="48"/>
    </row>
    <row r="13" spans="1:16" ht="14.25">
      <c r="A13" s="48">
        <v>1</v>
      </c>
      <c r="B13" s="393"/>
      <c r="C13" s="53" t="s">
        <v>258</v>
      </c>
      <c r="D13" s="48" t="s">
        <v>190</v>
      </c>
      <c r="E13" s="51">
        <f>382*2</f>
        <v>764</v>
      </c>
      <c r="F13" s="377"/>
      <c r="G13" s="52">
        <f>E13*F13</f>
        <v>0</v>
      </c>
      <c r="H13" s="7"/>
      <c r="I13" s="48"/>
      <c r="J13" s="48"/>
      <c r="K13" s="48"/>
      <c r="L13" s="47"/>
      <c r="M13" s="48" t="s">
        <v>208</v>
      </c>
      <c r="N13" s="48">
        <f>N8*N9*N10*2</f>
        <v>0</v>
      </c>
      <c r="O13" s="48" t="s">
        <v>175</v>
      </c>
      <c r="P13" s="48"/>
    </row>
    <row r="14" spans="1:16" ht="28.5">
      <c r="A14" s="48">
        <v>2</v>
      </c>
      <c r="B14" s="393"/>
      <c r="C14" s="53" t="s">
        <v>260</v>
      </c>
      <c r="D14" s="48" t="s">
        <v>386</v>
      </c>
      <c r="E14" s="51">
        <f>382*N12</f>
        <v>611.2</v>
      </c>
      <c r="F14" s="377"/>
      <c r="G14" s="52">
        <f>E14*F14</f>
        <v>0</v>
      </c>
      <c r="H14" s="7"/>
      <c r="I14" s="48"/>
      <c r="J14" s="48"/>
      <c r="K14" s="48"/>
      <c r="L14" s="47"/>
      <c r="M14" s="48" t="s">
        <v>212</v>
      </c>
      <c r="N14" s="48"/>
      <c r="O14" s="48" t="s">
        <v>253</v>
      </c>
      <c r="P14" s="48"/>
    </row>
    <row r="15" spans="1:16" ht="28.5">
      <c r="A15" s="48">
        <v>3</v>
      </c>
      <c r="B15" s="393"/>
      <c r="C15" s="77" t="s">
        <v>268</v>
      </c>
      <c r="D15" s="50" t="s">
        <v>385</v>
      </c>
      <c r="E15" s="51">
        <f>E14*0.1</f>
        <v>61.120000000000005</v>
      </c>
      <c r="F15" s="377"/>
      <c r="G15" s="52">
        <f>E15*F15</f>
        <v>0</v>
      </c>
      <c r="H15" s="7"/>
      <c r="I15" s="48"/>
      <c r="J15" s="48"/>
      <c r="K15" s="48"/>
      <c r="L15" s="75"/>
      <c r="M15" s="48"/>
      <c r="N15" s="48"/>
      <c r="O15" s="48" t="s">
        <v>209</v>
      </c>
      <c r="P15" s="48"/>
    </row>
    <row r="16" spans="1:16" ht="28.5">
      <c r="A16" s="496">
        <v>4</v>
      </c>
      <c r="B16" s="404"/>
      <c r="C16" s="44" t="s">
        <v>198</v>
      </c>
      <c r="D16" s="43"/>
      <c r="E16" s="43"/>
      <c r="F16" s="360"/>
      <c r="G16" s="45"/>
      <c r="H16" s="7"/>
      <c r="I16" s="76">
        <f>SUM(I9:I15)</f>
        <v>1722.78</v>
      </c>
      <c r="J16" s="76">
        <f>SUM(J9:J15)</f>
        <v>0</v>
      </c>
      <c r="K16" s="76">
        <f>SUM(K9:K15)</f>
        <v>0</v>
      </c>
      <c r="L16" s="48">
        <f>SUM(I16:K16)</f>
        <v>1722.78</v>
      </c>
      <c r="M16" s="76"/>
      <c r="N16" s="76"/>
      <c r="O16" s="48" t="s">
        <v>216</v>
      </c>
      <c r="P16" s="48"/>
    </row>
    <row r="17" spans="1:14" ht="16.5">
      <c r="A17" s="497">
        <f>A16+1</f>
        <v>5</v>
      </c>
      <c r="B17" s="393"/>
      <c r="C17" s="49" t="s">
        <v>264</v>
      </c>
      <c r="D17" s="50" t="s">
        <v>385</v>
      </c>
      <c r="E17" s="51">
        <f>0.7*I16</f>
        <v>1205.946</v>
      </c>
      <c r="F17" s="377"/>
      <c r="G17" s="52">
        <f>E17*F17</f>
        <v>0</v>
      </c>
      <c r="H17" s="7"/>
      <c r="I17" s="34"/>
      <c r="J17" s="34"/>
      <c r="K17" s="34"/>
      <c r="L17" s="34"/>
      <c r="M17" s="34"/>
      <c r="N17" s="34"/>
    </row>
    <row r="18" spans="1:14" ht="16.5">
      <c r="A18" s="497">
        <f>A17+1</f>
        <v>6</v>
      </c>
      <c r="B18" s="393"/>
      <c r="C18" s="53" t="s">
        <v>263</v>
      </c>
      <c r="D18" s="50" t="s">
        <v>385</v>
      </c>
      <c r="E18" s="51">
        <f>0.05*I16</f>
        <v>86.13900000000001</v>
      </c>
      <c r="F18" s="377"/>
      <c r="G18" s="52">
        <f>E18*F18</f>
        <v>0</v>
      </c>
      <c r="H18" s="7"/>
      <c r="I18" s="34"/>
      <c r="J18" s="34"/>
      <c r="K18" s="34"/>
      <c r="L18" s="34"/>
      <c r="M18" s="34"/>
      <c r="N18" s="34"/>
    </row>
    <row r="19" spans="1:14" ht="16.5">
      <c r="A19" s="498">
        <f>A18+1</f>
        <v>7</v>
      </c>
      <c r="B19" s="393"/>
      <c r="C19" s="49" t="s">
        <v>265</v>
      </c>
      <c r="D19" s="50" t="s">
        <v>385</v>
      </c>
      <c r="E19" s="51">
        <f>0.25*I16</f>
        <v>430.695</v>
      </c>
      <c r="F19" s="377"/>
      <c r="G19" s="52">
        <f>E19*F19</f>
        <v>0</v>
      </c>
      <c r="H19" s="7"/>
      <c r="J19" s="34"/>
      <c r="K19" s="34"/>
      <c r="L19" s="34"/>
      <c r="M19" s="34"/>
      <c r="N19" s="34"/>
    </row>
    <row r="20" spans="1:13" ht="28.5">
      <c r="A20" s="48">
        <v>5</v>
      </c>
      <c r="B20" s="393"/>
      <c r="C20" s="80" t="s">
        <v>196</v>
      </c>
      <c r="D20" s="50" t="s">
        <v>385</v>
      </c>
      <c r="E20" s="51">
        <f>E19</f>
        <v>430.695</v>
      </c>
      <c r="F20" s="377"/>
      <c r="G20" s="52">
        <f aca="true" t="shared" si="0" ref="G20:G34">E20*F20</f>
        <v>0</v>
      </c>
      <c r="H20" s="7"/>
      <c r="J20" s="34"/>
      <c r="K20" s="34"/>
      <c r="L20" s="34"/>
      <c r="M20" s="34"/>
    </row>
    <row r="21" spans="1:13" ht="16.5">
      <c r="A21" s="48">
        <v>6</v>
      </c>
      <c r="B21" s="393"/>
      <c r="C21" s="55" t="s">
        <v>197</v>
      </c>
      <c r="D21" s="50" t="s">
        <v>385</v>
      </c>
      <c r="E21" s="81">
        <f>E20</f>
        <v>430.695</v>
      </c>
      <c r="F21" s="377"/>
      <c r="G21" s="52">
        <f t="shared" si="0"/>
        <v>0</v>
      </c>
      <c r="H21" s="7"/>
      <c r="I21" s="34"/>
      <c r="J21" s="34"/>
      <c r="K21" s="34"/>
      <c r="L21" s="34"/>
      <c r="M21" s="34"/>
    </row>
    <row r="22" spans="1:12" ht="28.5">
      <c r="A22" s="48">
        <v>7</v>
      </c>
      <c r="B22" s="393"/>
      <c r="C22" s="80" t="s">
        <v>41</v>
      </c>
      <c r="D22" s="50" t="s">
        <v>385</v>
      </c>
      <c r="E22" s="51">
        <f>L16</f>
        <v>1722.78</v>
      </c>
      <c r="F22" s="377"/>
      <c r="G22" s="52">
        <f t="shared" si="0"/>
        <v>0</v>
      </c>
      <c r="H22" s="7"/>
      <c r="I22" s="34"/>
      <c r="J22" s="34"/>
      <c r="K22" s="34"/>
      <c r="L22" s="34"/>
    </row>
    <row r="23" spans="1:12" ht="16.5">
      <c r="A23" s="48">
        <v>8</v>
      </c>
      <c r="B23" s="393"/>
      <c r="C23" s="49" t="s">
        <v>387</v>
      </c>
      <c r="D23" s="48" t="s">
        <v>386</v>
      </c>
      <c r="E23" s="48">
        <f>N11*4</f>
        <v>2012</v>
      </c>
      <c r="F23" s="377"/>
      <c r="G23" s="52">
        <f t="shared" si="0"/>
        <v>0</v>
      </c>
      <c r="H23" s="7"/>
      <c r="I23" s="34"/>
      <c r="J23" s="34"/>
      <c r="K23" s="34"/>
      <c r="L23" s="51"/>
    </row>
    <row r="24" spans="1:8" ht="15" customHeight="1">
      <c r="A24" s="48">
        <v>9</v>
      </c>
      <c r="B24" s="393"/>
      <c r="C24" s="80" t="s">
        <v>42</v>
      </c>
      <c r="D24" s="50" t="s">
        <v>385</v>
      </c>
      <c r="E24" s="51">
        <f>0.1*1.1*N11</f>
        <v>55.330000000000005</v>
      </c>
      <c r="F24" s="377"/>
      <c r="G24" s="52">
        <f t="shared" si="0"/>
        <v>0</v>
      </c>
      <c r="H24" s="7"/>
    </row>
    <row r="25" spans="1:8" ht="30" customHeight="1">
      <c r="A25" s="48">
        <v>10</v>
      </c>
      <c r="B25" s="393"/>
      <c r="C25" s="53" t="s">
        <v>145</v>
      </c>
      <c r="D25" s="50" t="s">
        <v>385</v>
      </c>
      <c r="E25" s="51">
        <f>E22-E24-E26-E32-26.99</f>
        <v>1007.22</v>
      </c>
      <c r="F25" s="377"/>
      <c r="G25" s="52">
        <f t="shared" si="0"/>
        <v>0</v>
      </c>
      <c r="H25" s="7"/>
    </row>
    <row r="26" spans="1:8" ht="30" customHeight="1">
      <c r="A26" s="48">
        <v>11</v>
      </c>
      <c r="B26" s="393"/>
      <c r="C26" s="53" t="s">
        <v>146</v>
      </c>
      <c r="D26" s="50" t="s">
        <v>385</v>
      </c>
      <c r="E26" s="51">
        <v>392.58</v>
      </c>
      <c r="F26" s="377"/>
      <c r="G26" s="52">
        <f t="shared" si="0"/>
        <v>0</v>
      </c>
      <c r="H26" s="7"/>
    </row>
    <row r="27" spans="1:14" ht="14.25">
      <c r="A27" s="48">
        <v>12</v>
      </c>
      <c r="B27" s="393"/>
      <c r="C27" s="53" t="s">
        <v>291</v>
      </c>
      <c r="D27" s="48" t="s">
        <v>190</v>
      </c>
      <c r="E27" s="48">
        <f>N11</f>
        <v>503</v>
      </c>
      <c r="F27" s="377"/>
      <c r="G27" s="52">
        <f t="shared" si="0"/>
        <v>0</v>
      </c>
      <c r="H27" s="7"/>
      <c r="N27" s="30"/>
    </row>
    <row r="28" spans="1:16" s="30" customFormat="1" ht="28.5">
      <c r="A28" s="48">
        <v>13</v>
      </c>
      <c r="B28" s="393"/>
      <c r="C28" s="53" t="s">
        <v>309</v>
      </c>
      <c r="D28" s="48" t="s">
        <v>191</v>
      </c>
      <c r="E28" s="48">
        <v>10</v>
      </c>
      <c r="F28" s="377"/>
      <c r="G28" s="52">
        <f t="shared" si="0"/>
        <v>0</v>
      </c>
      <c r="H28" s="7"/>
      <c r="I28" s="29"/>
      <c r="J28" s="29"/>
      <c r="K28" s="29"/>
      <c r="L28" s="29"/>
      <c r="M28" s="29"/>
      <c r="N28" s="29"/>
      <c r="O28" s="29"/>
      <c r="P28" s="29"/>
    </row>
    <row r="29" spans="1:8" ht="14.25">
      <c r="A29" s="48">
        <v>14</v>
      </c>
      <c r="B29" s="393"/>
      <c r="C29" s="49" t="s">
        <v>192</v>
      </c>
      <c r="D29" s="48" t="s">
        <v>193</v>
      </c>
      <c r="E29" s="51">
        <f>40*N11/2000</f>
        <v>10.06</v>
      </c>
      <c r="F29" s="377"/>
      <c r="G29" s="52">
        <f t="shared" si="0"/>
        <v>0</v>
      </c>
      <c r="H29" s="7"/>
    </row>
    <row r="30" spans="1:8" ht="28.5">
      <c r="A30" s="48">
        <v>15</v>
      </c>
      <c r="B30" s="393"/>
      <c r="C30" s="77" t="s">
        <v>293</v>
      </c>
      <c r="D30" s="48" t="s">
        <v>195</v>
      </c>
      <c r="E30" s="82">
        <f>E14*96/1000</f>
        <v>58.675200000000004</v>
      </c>
      <c r="F30" s="377"/>
      <c r="G30" s="52">
        <f t="shared" si="0"/>
        <v>0</v>
      </c>
      <c r="H30" s="7"/>
    </row>
    <row r="31" spans="1:8" ht="28.5">
      <c r="A31" s="48">
        <v>16</v>
      </c>
      <c r="B31" s="393"/>
      <c r="C31" s="77" t="s">
        <v>20</v>
      </c>
      <c r="D31" s="48" t="s">
        <v>195</v>
      </c>
      <c r="E31" s="82">
        <f>E14*0.06*2.4</f>
        <v>88.01280000000001</v>
      </c>
      <c r="F31" s="377"/>
      <c r="G31" s="52">
        <f t="shared" si="0"/>
        <v>0</v>
      </c>
      <c r="H31" s="34"/>
    </row>
    <row r="32" spans="1:8" ht="28.5">
      <c r="A32" s="48">
        <v>17</v>
      </c>
      <c r="B32" s="393"/>
      <c r="C32" s="53" t="s">
        <v>21</v>
      </c>
      <c r="D32" s="83" t="s">
        <v>385</v>
      </c>
      <c r="E32" s="84">
        <v>240.66</v>
      </c>
      <c r="F32" s="377"/>
      <c r="G32" s="52">
        <f t="shared" si="0"/>
        <v>0</v>
      </c>
      <c r="H32" s="7"/>
    </row>
    <row r="33" spans="1:16" ht="14.25">
      <c r="A33" s="48">
        <v>18</v>
      </c>
      <c r="B33" s="393"/>
      <c r="C33" s="77" t="s">
        <v>194</v>
      </c>
      <c r="D33" s="74" t="s">
        <v>190</v>
      </c>
      <c r="E33" s="85">
        <f>E13</f>
        <v>764</v>
      </c>
      <c r="F33" s="377"/>
      <c r="G33" s="52">
        <f t="shared" si="0"/>
        <v>0</v>
      </c>
      <c r="H33" s="7"/>
      <c r="O33" s="30"/>
      <c r="P33" s="30"/>
    </row>
    <row r="34" spans="1:16" s="2" customFormat="1" ht="14.25">
      <c r="A34" s="48">
        <v>19</v>
      </c>
      <c r="B34" s="393"/>
      <c r="C34" s="55" t="s">
        <v>201</v>
      </c>
      <c r="D34" s="50" t="s">
        <v>190</v>
      </c>
      <c r="E34" s="50">
        <f>N11</f>
        <v>503</v>
      </c>
      <c r="F34" s="377"/>
      <c r="G34" s="52">
        <f t="shared" si="0"/>
        <v>0</v>
      </c>
      <c r="H34" s="7"/>
      <c r="I34" s="29"/>
      <c r="J34" s="29"/>
      <c r="K34" s="29"/>
      <c r="L34" s="29"/>
      <c r="M34" s="29"/>
      <c r="N34" s="3"/>
      <c r="O34" s="29"/>
      <c r="P34" s="29"/>
    </row>
    <row r="35" spans="1:16" s="2" customFormat="1" ht="15">
      <c r="A35" s="29"/>
      <c r="B35" s="29"/>
      <c r="C35" s="29"/>
      <c r="D35" s="29"/>
      <c r="E35" s="57"/>
      <c r="F35" s="58" t="s">
        <v>364</v>
      </c>
      <c r="G35" s="59">
        <f>SUM(G13:G34)</f>
        <v>0</v>
      </c>
      <c r="H35" s="7"/>
      <c r="I35" s="29"/>
      <c r="J35" s="29"/>
      <c r="K35" s="29"/>
      <c r="L35" s="29"/>
      <c r="M35" s="29"/>
      <c r="N35" s="30"/>
      <c r="O35" s="29"/>
      <c r="P35" s="29"/>
    </row>
    <row r="36" spans="5:14" ht="15">
      <c r="E36" s="484" t="s">
        <v>206</v>
      </c>
      <c r="F36" s="484"/>
      <c r="G36" s="59">
        <f>G35*0.2</f>
        <v>0</v>
      </c>
      <c r="H36" s="7"/>
      <c r="N36" s="3"/>
    </row>
    <row r="37" spans="1:16" s="2" customFormat="1" ht="15">
      <c r="A37" s="29"/>
      <c r="B37" s="29"/>
      <c r="C37" s="26"/>
      <c r="D37" s="29"/>
      <c r="E37" s="57"/>
      <c r="F37" s="60" t="s">
        <v>365</v>
      </c>
      <c r="G37" s="59">
        <f>G35+G36</f>
        <v>0</v>
      </c>
      <c r="H37" s="7"/>
      <c r="I37" s="29"/>
      <c r="J37" s="29"/>
      <c r="K37" s="29"/>
      <c r="L37" s="29"/>
      <c r="M37" s="29"/>
      <c r="N37" s="3"/>
      <c r="O37" s="30"/>
      <c r="P37" s="30"/>
    </row>
    <row r="38" spans="1:16" s="2" customFormat="1" ht="12.75" customHeight="1">
      <c r="A38" s="29"/>
      <c r="B38" s="29"/>
      <c r="C38" s="61"/>
      <c r="D38" s="62"/>
      <c r="E38" s="62"/>
      <c r="F38" s="29"/>
      <c r="G38" s="29"/>
      <c r="H38" s="7"/>
      <c r="I38" s="29"/>
      <c r="J38" s="29"/>
      <c r="K38" s="29"/>
      <c r="L38" s="29"/>
      <c r="M38" s="29"/>
      <c r="N38" s="29"/>
      <c r="O38" s="29"/>
      <c r="P38" s="29"/>
    </row>
    <row r="39" spans="2:16" ht="18.75">
      <c r="B39" s="63" t="s">
        <v>370</v>
      </c>
      <c r="C39" s="64" t="s">
        <v>371</v>
      </c>
      <c r="D39" s="62"/>
      <c r="E39" s="62"/>
      <c r="H39" s="28"/>
      <c r="I39" s="28"/>
      <c r="J39" s="28"/>
      <c r="K39" s="28"/>
      <c r="L39" s="28"/>
      <c r="M39" s="28"/>
      <c r="N39" s="28"/>
      <c r="O39" s="28"/>
      <c r="P39" s="28"/>
    </row>
    <row r="40" spans="8:16" ht="14.25">
      <c r="H40" s="28"/>
      <c r="I40" s="28"/>
      <c r="J40" s="28"/>
      <c r="K40" s="28"/>
      <c r="L40" s="28"/>
      <c r="M40" s="28"/>
      <c r="N40" s="28"/>
      <c r="O40" s="28"/>
      <c r="P40" s="28"/>
    </row>
    <row r="41" spans="8:16" ht="15" customHeight="1">
      <c r="H41" s="28"/>
      <c r="I41" s="28"/>
      <c r="J41" s="28"/>
      <c r="K41" s="28"/>
      <c r="L41" s="28"/>
      <c r="M41" s="28"/>
      <c r="N41" s="28"/>
      <c r="O41" s="28"/>
      <c r="P41" s="28"/>
    </row>
    <row r="42" spans="8:16" ht="14.25">
      <c r="H42" s="28"/>
      <c r="I42" s="28"/>
      <c r="J42" s="28"/>
      <c r="K42" s="28"/>
      <c r="L42" s="28"/>
      <c r="M42" s="28"/>
      <c r="N42" s="28"/>
      <c r="O42" s="28"/>
      <c r="P42" s="28"/>
    </row>
    <row r="43" spans="1:5" s="67" customFormat="1" ht="15">
      <c r="A43" s="65" t="s">
        <v>373</v>
      </c>
      <c r="B43" s="2"/>
      <c r="C43" s="65"/>
      <c r="D43" s="66" t="s">
        <v>374</v>
      </c>
      <c r="E43" s="24"/>
    </row>
    <row r="44" spans="1:5" s="67" customFormat="1" ht="12.75">
      <c r="A44" s="11"/>
      <c r="B44" s="2"/>
      <c r="C44" s="11"/>
      <c r="D44" s="2"/>
      <c r="E44" s="24"/>
    </row>
    <row r="45" spans="1:5" s="67" customFormat="1" ht="14.25">
      <c r="A45" s="11"/>
      <c r="B45" s="2"/>
      <c r="C45" s="68"/>
      <c r="D45" s="69" t="s">
        <v>375</v>
      </c>
      <c r="E45" s="24"/>
    </row>
    <row r="46" spans="1:5" s="67" customFormat="1" ht="12.75">
      <c r="A46" s="11"/>
      <c r="B46" s="2"/>
      <c r="C46" s="11"/>
      <c r="D46" s="2"/>
      <c r="E46" s="70" t="s">
        <v>376</v>
      </c>
    </row>
    <row r="47" spans="1:5" s="67" customFormat="1" ht="14.25">
      <c r="A47" s="11"/>
      <c r="B47" s="2"/>
      <c r="C47" s="68"/>
      <c r="D47" s="69" t="s">
        <v>377</v>
      </c>
      <c r="E47" s="24"/>
    </row>
    <row r="48" spans="1:5" s="67" customFormat="1" ht="12.75">
      <c r="A48" s="11"/>
      <c r="B48" s="2"/>
      <c r="C48" s="11"/>
      <c r="D48" s="71" t="s">
        <v>378</v>
      </c>
      <c r="E48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39:E48" name="Range1"/>
    <protectedRange password="CF7A" sqref="A9:A12 C9:E12 B9:B10 B12" name="Range1_2"/>
    <protectedRange password="CF7A" sqref="F36 E35:E37" name="Range1_1"/>
    <protectedRange password="CF7A" sqref="A6:E7" name="Range1_3"/>
  </protectedRanges>
  <mergeCells count="18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36:F36"/>
    <mergeCell ref="A16:A19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9.710937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14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43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1.7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12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721.6</v>
      </c>
      <c r="J9" s="73">
        <v>76.96</v>
      </c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221.4</v>
      </c>
      <c r="J10" s="48">
        <v>14.85</v>
      </c>
      <c r="K10" s="48"/>
      <c r="L10" s="47"/>
      <c r="M10" s="48" t="s">
        <v>351</v>
      </c>
      <c r="N10" s="48">
        <v>6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236.74</v>
      </c>
      <c r="J11" s="48"/>
      <c r="K11" s="48"/>
      <c r="L11" s="47"/>
      <c r="M11" s="48" t="s">
        <v>213</v>
      </c>
      <c r="N11" s="48">
        <v>594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68.85</v>
      </c>
      <c r="J12" s="48"/>
      <c r="K12" s="48"/>
      <c r="L12" s="47"/>
      <c r="M12" s="48" t="s">
        <v>209</v>
      </c>
      <c r="N12" s="5">
        <v>1.6</v>
      </c>
      <c r="O12" s="48" t="s">
        <v>284</v>
      </c>
      <c r="P12" s="48"/>
    </row>
    <row r="13" spans="1:16" ht="14.25">
      <c r="A13" s="48">
        <v>1</v>
      </c>
      <c r="B13" s="393"/>
      <c r="C13" s="53" t="s">
        <v>258</v>
      </c>
      <c r="D13" s="48" t="s">
        <v>190</v>
      </c>
      <c r="E13" s="51">
        <f>N11*2</f>
        <v>1188</v>
      </c>
      <c r="F13" s="377"/>
      <c r="G13" s="52">
        <f>E13*F13</f>
        <v>0</v>
      </c>
      <c r="H13" s="7"/>
      <c r="I13" s="48">
        <v>279.51</v>
      </c>
      <c r="J13" s="48"/>
      <c r="K13" s="48"/>
      <c r="L13" s="47"/>
      <c r="M13" s="48" t="s">
        <v>208</v>
      </c>
      <c r="N13" s="48">
        <f>N8*N9*N10*2</f>
        <v>172.79999999999998</v>
      </c>
      <c r="O13" s="48" t="s">
        <v>175</v>
      </c>
      <c r="P13" s="48"/>
    </row>
    <row r="14" spans="1:16" ht="14.25">
      <c r="A14" s="48">
        <v>2</v>
      </c>
      <c r="B14" s="393"/>
      <c r="C14" s="53" t="s">
        <v>37</v>
      </c>
      <c r="D14" s="48" t="s">
        <v>190</v>
      </c>
      <c r="E14" s="51">
        <f>N8*6*2</f>
        <v>144</v>
      </c>
      <c r="F14" s="377"/>
      <c r="G14" s="52">
        <f>E14*F14</f>
        <v>0</v>
      </c>
      <c r="H14" s="7"/>
      <c r="I14" s="48">
        <v>81.68</v>
      </c>
      <c r="J14" s="48"/>
      <c r="K14" s="48"/>
      <c r="L14" s="47"/>
      <c r="M14" s="48" t="s">
        <v>212</v>
      </c>
      <c r="N14" s="48">
        <v>16</v>
      </c>
      <c r="O14" s="48" t="s">
        <v>253</v>
      </c>
      <c r="P14" s="48"/>
    </row>
    <row r="15" spans="1:16" ht="28.5">
      <c r="A15" s="48">
        <v>3</v>
      </c>
      <c r="B15" s="393"/>
      <c r="C15" s="53" t="s">
        <v>260</v>
      </c>
      <c r="D15" s="48" t="s">
        <v>386</v>
      </c>
      <c r="E15" s="51">
        <f>N11*N12</f>
        <v>950.4000000000001</v>
      </c>
      <c r="F15" s="377"/>
      <c r="G15" s="52">
        <f>E15*F15</f>
        <v>0</v>
      </c>
      <c r="H15" s="7"/>
      <c r="I15" s="48">
        <v>57.52</v>
      </c>
      <c r="J15" s="48"/>
      <c r="K15" s="48"/>
      <c r="L15" s="75"/>
      <c r="M15" s="48"/>
      <c r="N15" s="48"/>
      <c r="O15" s="48" t="s">
        <v>209</v>
      </c>
      <c r="P15" s="48"/>
    </row>
    <row r="16" spans="1:16" ht="28.5">
      <c r="A16" s="48">
        <v>4</v>
      </c>
      <c r="B16" s="393"/>
      <c r="C16" s="53" t="s">
        <v>38</v>
      </c>
      <c r="D16" s="48" t="s">
        <v>386</v>
      </c>
      <c r="E16" s="51">
        <f>N8*N9*6</f>
        <v>86.39999999999999</v>
      </c>
      <c r="F16" s="377"/>
      <c r="G16" s="52">
        <f>E16*F16</f>
        <v>0</v>
      </c>
      <c r="H16" s="7"/>
      <c r="I16" s="76">
        <v>14.18</v>
      </c>
      <c r="J16" s="76"/>
      <c r="K16" s="76"/>
      <c r="L16" s="75"/>
      <c r="M16" s="76"/>
      <c r="N16" s="76"/>
      <c r="O16" s="48" t="s">
        <v>216</v>
      </c>
      <c r="P16" s="48"/>
    </row>
    <row r="17" spans="1:14" ht="28.5">
      <c r="A17" s="48">
        <v>5</v>
      </c>
      <c r="B17" s="393"/>
      <c r="C17" s="77" t="s">
        <v>268</v>
      </c>
      <c r="D17" s="50" t="s">
        <v>385</v>
      </c>
      <c r="E17" s="51">
        <f>(E15+E16)*0.1</f>
        <v>103.68000000000002</v>
      </c>
      <c r="F17" s="377"/>
      <c r="G17" s="52">
        <f>E17*F17</f>
        <v>0</v>
      </c>
      <c r="H17" s="7"/>
      <c r="I17" s="76">
        <f>SUM(I9:I16)</f>
        <v>1681.48</v>
      </c>
      <c r="J17" s="76">
        <f>SUM(J9:J15)</f>
        <v>91.80999999999999</v>
      </c>
      <c r="K17" s="76">
        <f>SUM(K9:K15)</f>
        <v>0</v>
      </c>
      <c r="L17" s="48">
        <f>SUM(I17:K17)</f>
        <v>1773.29</v>
      </c>
      <c r="M17" s="34"/>
      <c r="N17" s="34"/>
    </row>
    <row r="18" spans="1:13" ht="28.5">
      <c r="A18" s="496">
        <v>6</v>
      </c>
      <c r="B18" s="404"/>
      <c r="C18" s="44" t="s">
        <v>198</v>
      </c>
      <c r="D18" s="43"/>
      <c r="E18" s="43"/>
      <c r="F18" s="360"/>
      <c r="G18" s="45"/>
      <c r="H18" s="7"/>
      <c r="J18" s="34"/>
      <c r="K18" s="34"/>
      <c r="L18" s="34"/>
      <c r="M18" s="34"/>
    </row>
    <row r="19" spans="1:13" ht="16.5">
      <c r="A19" s="497">
        <f>A18+1</f>
        <v>7</v>
      </c>
      <c r="B19" s="393"/>
      <c r="C19" s="49" t="s">
        <v>264</v>
      </c>
      <c r="D19" s="50" t="s">
        <v>385</v>
      </c>
      <c r="E19" s="51">
        <f>0.7*I17</f>
        <v>1177.0359999999998</v>
      </c>
      <c r="F19" s="377"/>
      <c r="G19" s="52">
        <f>E19*F19</f>
        <v>0</v>
      </c>
      <c r="H19" s="7"/>
      <c r="J19" s="34"/>
      <c r="K19" s="34"/>
      <c r="L19" s="34"/>
      <c r="M19" s="34"/>
    </row>
    <row r="20" spans="1:12" ht="16.5">
      <c r="A20" s="497">
        <f>A19+1</f>
        <v>8</v>
      </c>
      <c r="B20" s="393"/>
      <c r="C20" s="53" t="s">
        <v>263</v>
      </c>
      <c r="D20" s="50" t="s">
        <v>385</v>
      </c>
      <c r="E20" s="51">
        <f>0.05*I17</f>
        <v>84.07400000000001</v>
      </c>
      <c r="F20" s="377"/>
      <c r="G20" s="52">
        <f>E20*F20</f>
        <v>0</v>
      </c>
      <c r="H20" s="7"/>
      <c r="I20" s="34"/>
      <c r="J20" s="34"/>
      <c r="K20" s="34"/>
      <c r="L20" s="34"/>
    </row>
    <row r="21" spans="1:12" ht="15" customHeight="1">
      <c r="A21" s="498">
        <f>A20+1</f>
        <v>9</v>
      </c>
      <c r="B21" s="393"/>
      <c r="C21" s="49" t="s">
        <v>265</v>
      </c>
      <c r="D21" s="50" t="s">
        <v>385</v>
      </c>
      <c r="E21" s="51">
        <f>0.25*I17</f>
        <v>420.37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2" ht="28.5">
      <c r="A22" s="496">
        <v>7</v>
      </c>
      <c r="B22" s="404"/>
      <c r="C22" s="44" t="s">
        <v>202</v>
      </c>
      <c r="D22" s="43"/>
      <c r="E22" s="43"/>
      <c r="F22" s="360"/>
      <c r="G22" s="45"/>
      <c r="H22" s="7"/>
      <c r="I22" s="34"/>
      <c r="J22" s="34"/>
      <c r="K22" s="34"/>
      <c r="L22" s="34"/>
    </row>
    <row r="23" spans="1:13" ht="16.5">
      <c r="A23" s="497">
        <f>A22+1</f>
        <v>8</v>
      </c>
      <c r="B23" s="393"/>
      <c r="C23" s="49" t="s">
        <v>264</v>
      </c>
      <c r="D23" s="50" t="s">
        <v>385</v>
      </c>
      <c r="E23" s="51">
        <f>0.7*J17</f>
        <v>64.26699999999998</v>
      </c>
      <c r="F23" s="377"/>
      <c r="G23" s="52">
        <f>E23*F23</f>
        <v>0</v>
      </c>
      <c r="H23" s="7"/>
      <c r="I23" s="34"/>
      <c r="J23" s="34"/>
      <c r="K23" s="34"/>
      <c r="L23" s="34"/>
      <c r="M23" s="34"/>
    </row>
    <row r="24" spans="1:12" ht="16.5">
      <c r="A24" s="497">
        <f>A23+1</f>
        <v>9</v>
      </c>
      <c r="B24" s="393"/>
      <c r="C24" s="53" t="s">
        <v>263</v>
      </c>
      <c r="D24" s="50" t="s">
        <v>385</v>
      </c>
      <c r="E24" s="51">
        <f>0.05*J17</f>
        <v>4.5905</v>
      </c>
      <c r="F24" s="377"/>
      <c r="G24" s="52">
        <f>E24*F24</f>
        <v>0</v>
      </c>
      <c r="H24" s="7"/>
      <c r="I24" s="34"/>
      <c r="J24" s="34"/>
      <c r="K24" s="34"/>
      <c r="L24" s="34"/>
    </row>
    <row r="25" spans="1:12" ht="15" customHeight="1">
      <c r="A25" s="498">
        <f>A24+1</f>
        <v>10</v>
      </c>
      <c r="B25" s="393"/>
      <c r="C25" s="49" t="s">
        <v>265</v>
      </c>
      <c r="D25" s="50" t="s">
        <v>385</v>
      </c>
      <c r="E25" s="51">
        <f>0.25*J17</f>
        <v>22.952499999999997</v>
      </c>
      <c r="F25" s="377"/>
      <c r="G25" s="52">
        <f>E25*F25</f>
        <v>0</v>
      </c>
      <c r="H25" s="7"/>
      <c r="I25" s="34"/>
      <c r="J25" s="34"/>
      <c r="K25" s="34"/>
      <c r="L25" s="34"/>
    </row>
    <row r="26" spans="1:12" ht="15" customHeight="1">
      <c r="A26" s="496">
        <v>8</v>
      </c>
      <c r="B26" s="404"/>
      <c r="C26" s="44" t="s">
        <v>176</v>
      </c>
      <c r="D26" s="78"/>
      <c r="E26" s="78"/>
      <c r="F26" s="360"/>
      <c r="G26" s="79"/>
      <c r="H26" s="7"/>
      <c r="I26" s="34"/>
      <c r="J26" s="34"/>
      <c r="K26" s="34"/>
      <c r="L26" s="34"/>
    </row>
    <row r="27" spans="1:12" ht="15" customHeight="1">
      <c r="A27" s="497"/>
      <c r="B27" s="393"/>
      <c r="C27" s="49" t="s">
        <v>199</v>
      </c>
      <c r="D27" s="50" t="s">
        <v>385</v>
      </c>
      <c r="E27" s="51">
        <f>0.6*N13</f>
        <v>103.67999999999999</v>
      </c>
      <c r="F27" s="377"/>
      <c r="G27" s="52">
        <f aca="true" t="shared" si="0" ref="G27:G45">E27*F27</f>
        <v>0</v>
      </c>
      <c r="H27" s="7"/>
      <c r="I27" s="34"/>
      <c r="J27" s="34"/>
      <c r="K27" s="34"/>
      <c r="L27" s="34"/>
    </row>
    <row r="28" spans="1:12" ht="16.5" customHeight="1">
      <c r="A28" s="497"/>
      <c r="B28" s="393"/>
      <c r="C28" s="53" t="s">
        <v>266</v>
      </c>
      <c r="D28" s="50" t="s">
        <v>385</v>
      </c>
      <c r="E28" s="51">
        <f>0.05*N13</f>
        <v>8.639999999999999</v>
      </c>
      <c r="F28" s="377"/>
      <c r="G28" s="52">
        <f t="shared" si="0"/>
        <v>0</v>
      </c>
      <c r="H28" s="7"/>
      <c r="I28" s="34"/>
      <c r="J28" s="34"/>
      <c r="K28" s="34"/>
      <c r="L28" s="34"/>
    </row>
    <row r="29" spans="1:12" ht="15" customHeight="1">
      <c r="A29" s="498"/>
      <c r="B29" s="393"/>
      <c r="C29" s="49" t="s">
        <v>267</v>
      </c>
      <c r="D29" s="50" t="s">
        <v>385</v>
      </c>
      <c r="E29" s="51">
        <f>0.35*N13</f>
        <v>60.47999999999999</v>
      </c>
      <c r="F29" s="377"/>
      <c r="G29" s="52">
        <f t="shared" si="0"/>
        <v>0</v>
      </c>
      <c r="H29" s="7"/>
      <c r="I29" s="34"/>
      <c r="J29" s="34"/>
      <c r="K29" s="34"/>
      <c r="L29" s="34"/>
    </row>
    <row r="30" spans="1:12" ht="28.5">
      <c r="A30" s="48">
        <v>9</v>
      </c>
      <c r="B30" s="393"/>
      <c r="C30" s="80" t="s">
        <v>196</v>
      </c>
      <c r="D30" s="50" t="s">
        <v>385</v>
      </c>
      <c r="E30" s="51">
        <f>E21+E29+E25</f>
        <v>503.8025</v>
      </c>
      <c r="F30" s="377"/>
      <c r="G30" s="52">
        <f t="shared" si="0"/>
        <v>0</v>
      </c>
      <c r="H30" s="7"/>
      <c r="I30" s="34"/>
      <c r="J30" s="34"/>
      <c r="K30" s="34"/>
      <c r="L30" s="51"/>
    </row>
    <row r="31" spans="1:8" ht="16.5">
      <c r="A31" s="48">
        <v>10</v>
      </c>
      <c r="B31" s="393"/>
      <c r="C31" s="55" t="s">
        <v>197</v>
      </c>
      <c r="D31" s="50" t="s">
        <v>385</v>
      </c>
      <c r="E31" s="81">
        <f>E30</f>
        <v>503.8025</v>
      </c>
      <c r="F31" s="377"/>
      <c r="G31" s="52">
        <f t="shared" si="0"/>
        <v>0</v>
      </c>
      <c r="H31" s="7"/>
    </row>
    <row r="32" spans="1:8" ht="28.5">
      <c r="A32" s="48">
        <v>11</v>
      </c>
      <c r="B32" s="393"/>
      <c r="C32" s="80" t="s">
        <v>41</v>
      </c>
      <c r="D32" s="50" t="s">
        <v>385</v>
      </c>
      <c r="E32" s="51">
        <f>L17+N13</f>
        <v>1946.09</v>
      </c>
      <c r="F32" s="377"/>
      <c r="G32" s="52">
        <f t="shared" si="0"/>
        <v>0</v>
      </c>
      <c r="H32" s="7"/>
    </row>
    <row r="33" spans="1:16" s="30" customFormat="1" ht="16.5">
      <c r="A33" s="48">
        <v>12</v>
      </c>
      <c r="B33" s="393"/>
      <c r="C33" s="49" t="s">
        <v>387</v>
      </c>
      <c r="D33" s="48" t="s">
        <v>386</v>
      </c>
      <c r="E33" s="48">
        <f>N11*4</f>
        <v>2376</v>
      </c>
      <c r="F33" s="377"/>
      <c r="G33" s="52">
        <f t="shared" si="0"/>
        <v>0</v>
      </c>
      <c r="H33" s="7"/>
      <c r="I33" s="29"/>
      <c r="J33" s="29"/>
      <c r="K33" s="29"/>
      <c r="L33" s="29"/>
      <c r="M33" s="29"/>
      <c r="O33" s="29"/>
      <c r="P33" s="29"/>
    </row>
    <row r="34" spans="1:8" ht="15" customHeight="1">
      <c r="A34" s="48">
        <v>13</v>
      </c>
      <c r="B34" s="393"/>
      <c r="C34" s="80" t="s">
        <v>42</v>
      </c>
      <c r="D34" s="50" t="s">
        <v>385</v>
      </c>
      <c r="E34" s="51">
        <f>0.1*1.1*N11</f>
        <v>65.34</v>
      </c>
      <c r="F34" s="377"/>
      <c r="G34" s="52">
        <f t="shared" si="0"/>
        <v>0</v>
      </c>
      <c r="H34" s="7"/>
    </row>
    <row r="35" spans="1:8" ht="30" customHeight="1">
      <c r="A35" s="48">
        <v>14</v>
      </c>
      <c r="B35" s="393"/>
      <c r="C35" s="53" t="s">
        <v>43</v>
      </c>
      <c r="D35" s="50" t="s">
        <v>385</v>
      </c>
      <c r="E35" s="51">
        <f>E32-E34-E43-41.96</f>
        <v>1461.06</v>
      </c>
      <c r="F35" s="377"/>
      <c r="G35" s="52">
        <f t="shared" si="0"/>
        <v>0</v>
      </c>
      <c r="H35" s="7"/>
    </row>
    <row r="36" spans="1:8" ht="14.25">
      <c r="A36" s="48">
        <v>15</v>
      </c>
      <c r="B36" s="393"/>
      <c r="C36" s="53" t="s">
        <v>291</v>
      </c>
      <c r="D36" s="48" t="s">
        <v>190</v>
      </c>
      <c r="E36" s="48">
        <f>N11</f>
        <v>594</v>
      </c>
      <c r="F36" s="377"/>
      <c r="G36" s="52">
        <f t="shared" si="0"/>
        <v>0</v>
      </c>
      <c r="H36" s="7"/>
    </row>
    <row r="37" spans="1:14" ht="28.5">
      <c r="A37" s="48">
        <v>16</v>
      </c>
      <c r="B37" s="393"/>
      <c r="C37" s="53" t="s">
        <v>309</v>
      </c>
      <c r="D37" s="48" t="s">
        <v>191</v>
      </c>
      <c r="E37" s="48">
        <v>15</v>
      </c>
      <c r="F37" s="377"/>
      <c r="G37" s="52">
        <f t="shared" si="0"/>
        <v>0</v>
      </c>
      <c r="H37" s="7"/>
      <c r="I37" s="34"/>
      <c r="N37" s="34"/>
    </row>
    <row r="38" spans="1:8" ht="28.5">
      <c r="A38" s="48">
        <v>17</v>
      </c>
      <c r="B38" s="393"/>
      <c r="C38" s="53" t="s">
        <v>313</v>
      </c>
      <c r="D38" s="48" t="s">
        <v>191</v>
      </c>
      <c r="E38" s="48">
        <v>1</v>
      </c>
      <c r="F38" s="377"/>
      <c r="G38" s="52">
        <f>E38*F38</f>
        <v>0</v>
      </c>
      <c r="H38" s="7"/>
    </row>
    <row r="39" spans="1:14" ht="14.25">
      <c r="A39" s="48">
        <v>18</v>
      </c>
      <c r="B39" s="393"/>
      <c r="C39" s="53" t="s">
        <v>200</v>
      </c>
      <c r="D39" s="48" t="s">
        <v>191</v>
      </c>
      <c r="E39" s="48">
        <f>N8</f>
        <v>12</v>
      </c>
      <c r="F39" s="377"/>
      <c r="G39" s="52">
        <f t="shared" si="0"/>
        <v>0</v>
      </c>
      <c r="H39" s="7"/>
      <c r="N39" s="34"/>
    </row>
    <row r="40" spans="1:16" ht="14.25">
      <c r="A40" s="48">
        <v>19</v>
      </c>
      <c r="B40" s="393"/>
      <c r="C40" s="49" t="s">
        <v>192</v>
      </c>
      <c r="D40" s="48" t="s">
        <v>193</v>
      </c>
      <c r="E40" s="51">
        <f>40*N11/2000</f>
        <v>11.88</v>
      </c>
      <c r="F40" s="377"/>
      <c r="G40" s="52">
        <f t="shared" si="0"/>
        <v>0</v>
      </c>
      <c r="H40" s="34"/>
      <c r="M40" s="30"/>
      <c r="N40" s="30"/>
      <c r="O40" s="30"/>
      <c r="P40" s="30"/>
    </row>
    <row r="41" spans="1:16" s="2" customFormat="1" ht="28.5">
      <c r="A41" s="48">
        <v>20</v>
      </c>
      <c r="B41" s="393"/>
      <c r="C41" s="77" t="s">
        <v>293</v>
      </c>
      <c r="D41" s="48" t="s">
        <v>195</v>
      </c>
      <c r="E41" s="82">
        <f>(E15+E16)*96/1000</f>
        <v>99.53280000000002</v>
      </c>
      <c r="F41" s="377"/>
      <c r="G41" s="52">
        <f t="shared" si="0"/>
        <v>0</v>
      </c>
      <c r="H41" s="7"/>
      <c r="I41" s="29"/>
      <c r="J41" s="29"/>
      <c r="K41" s="29"/>
      <c r="L41" s="29"/>
      <c r="M41" s="29"/>
      <c r="N41" s="29"/>
      <c r="O41" s="29"/>
      <c r="P41" s="29"/>
    </row>
    <row r="42" spans="1:16" s="2" customFormat="1" ht="28.5">
      <c r="A42" s="48">
        <v>21</v>
      </c>
      <c r="B42" s="393"/>
      <c r="C42" s="77" t="s">
        <v>20</v>
      </c>
      <c r="D42" s="48" t="s">
        <v>195</v>
      </c>
      <c r="E42" s="82">
        <f>(E15+E16)*0.06*2.4</f>
        <v>149.2992</v>
      </c>
      <c r="F42" s="377"/>
      <c r="G42" s="52">
        <f t="shared" si="0"/>
        <v>0</v>
      </c>
      <c r="H42" s="7"/>
      <c r="I42" s="29"/>
      <c r="J42" s="29"/>
      <c r="K42" s="29"/>
      <c r="L42" s="29"/>
      <c r="M42" s="29"/>
      <c r="N42" s="30"/>
      <c r="O42" s="29"/>
      <c r="P42" s="29"/>
    </row>
    <row r="43" spans="1:14" ht="28.5">
      <c r="A43" s="48">
        <v>22</v>
      </c>
      <c r="B43" s="393"/>
      <c r="C43" s="53" t="s">
        <v>21</v>
      </c>
      <c r="D43" s="83" t="s">
        <v>385</v>
      </c>
      <c r="E43" s="84">
        <v>377.73</v>
      </c>
      <c r="F43" s="377"/>
      <c r="G43" s="52">
        <f t="shared" si="0"/>
        <v>0</v>
      </c>
      <c r="H43" s="7"/>
      <c r="N43" s="3"/>
    </row>
    <row r="44" spans="1:16" s="2" customFormat="1" ht="14.25">
      <c r="A44" s="48">
        <v>23</v>
      </c>
      <c r="B44" s="393"/>
      <c r="C44" s="77" t="s">
        <v>194</v>
      </c>
      <c r="D44" s="74" t="s">
        <v>190</v>
      </c>
      <c r="E44" s="85">
        <f>E13</f>
        <v>1188</v>
      </c>
      <c r="F44" s="377"/>
      <c r="G44" s="52">
        <f t="shared" si="0"/>
        <v>0</v>
      </c>
      <c r="H44" s="7"/>
      <c r="I44" s="29"/>
      <c r="J44" s="29"/>
      <c r="K44" s="29"/>
      <c r="L44" s="29"/>
      <c r="M44" s="29"/>
      <c r="N44" s="3"/>
      <c r="O44" s="30"/>
      <c r="P44" s="30"/>
    </row>
    <row r="45" spans="1:16" s="2" customFormat="1" ht="12.75" customHeight="1">
      <c r="A45" s="48">
        <v>24</v>
      </c>
      <c r="B45" s="393"/>
      <c r="C45" s="55" t="s">
        <v>201</v>
      </c>
      <c r="D45" s="50" t="s">
        <v>190</v>
      </c>
      <c r="E45" s="50">
        <f>N11</f>
        <v>594</v>
      </c>
      <c r="F45" s="377"/>
      <c r="G45" s="52">
        <f t="shared" si="0"/>
        <v>0</v>
      </c>
      <c r="H45" s="7"/>
      <c r="I45" s="29"/>
      <c r="J45" s="29"/>
      <c r="K45" s="29"/>
      <c r="L45" s="29"/>
      <c r="M45" s="29"/>
      <c r="N45" s="29"/>
      <c r="O45" s="29"/>
      <c r="P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G46+G47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2"/>
      <c r="C54" s="65"/>
      <c r="D54" s="66" t="s">
        <v>374</v>
      </c>
      <c r="E54" s="24"/>
    </row>
    <row r="55" spans="1:5" s="67" customFormat="1" ht="12.75">
      <c r="A55" s="11"/>
      <c r="B55" s="2"/>
      <c r="C55" s="11"/>
      <c r="D55" s="2"/>
      <c r="E55" s="24"/>
    </row>
    <row r="56" spans="1:5" s="67" customFormat="1" ht="14.25">
      <c r="A56" s="11"/>
      <c r="B56" s="2"/>
      <c r="C56" s="68"/>
      <c r="D56" s="69" t="s">
        <v>375</v>
      </c>
      <c r="E56" s="24"/>
    </row>
    <row r="57" spans="1:5" s="67" customFormat="1" ht="12.75">
      <c r="A57" s="11"/>
      <c r="B57" s="2"/>
      <c r="C57" s="11"/>
      <c r="D57" s="2"/>
      <c r="E57" s="70" t="s">
        <v>376</v>
      </c>
    </row>
    <row r="58" spans="1:5" s="67" customFormat="1" ht="14.25">
      <c r="A58" s="11"/>
      <c r="B58" s="2"/>
      <c r="C58" s="68"/>
      <c r="D58" s="69" t="s">
        <v>377</v>
      </c>
      <c r="E58" s="24"/>
    </row>
    <row r="59" spans="1:5" s="67" customFormat="1" ht="12.75">
      <c r="A59" s="11"/>
      <c r="B59" s="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6:A29"/>
    <mergeCell ref="A18:A21"/>
    <mergeCell ref="A22:A25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2362204724409449" footer="0.3937007874015748"/>
  <pageSetup fitToHeight="1" fitToWidth="1" horizontalDpi="600" verticalDpi="600" orientation="portrait" paperSize="9" scale="7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zoomScalePageLayoutView="0" workbookViewId="0" topLeftCell="A1">
      <selection activeCell="A1" sqref="A1:IV5"/>
    </sheetView>
  </sheetViews>
  <sheetFormatPr defaultColWidth="9.140625" defaultRowHeight="12.75"/>
  <cols>
    <col min="1" max="1" width="7.28125" style="29" customWidth="1"/>
    <col min="2" max="2" width="18.00390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15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44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2.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6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310.2</v>
      </c>
      <c r="J9" s="73">
        <v>123.54</v>
      </c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101.25</v>
      </c>
      <c r="J10" s="48">
        <v>24.3</v>
      </c>
      <c r="K10" s="48"/>
      <c r="L10" s="47"/>
      <c r="M10" s="48" t="s">
        <v>351</v>
      </c>
      <c r="N10" s="48">
        <v>6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352</v>
      </c>
      <c r="J11" s="48"/>
      <c r="K11" s="48"/>
      <c r="L11" s="47"/>
      <c r="M11" s="48" t="s">
        <v>213</v>
      </c>
      <c r="N11" s="48">
        <v>314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86.4</v>
      </c>
      <c r="J12" s="48"/>
      <c r="K12" s="48"/>
      <c r="L12" s="47"/>
      <c r="M12" s="48" t="s">
        <v>209</v>
      </c>
      <c r="N12" s="5">
        <v>1.6</v>
      </c>
      <c r="O12" s="48" t="s">
        <v>284</v>
      </c>
      <c r="P12" s="48"/>
    </row>
    <row r="13" spans="1:16" ht="14.25">
      <c r="A13" s="48">
        <v>1</v>
      </c>
      <c r="B13" s="393"/>
      <c r="C13" s="53" t="s">
        <v>258</v>
      </c>
      <c r="D13" s="48" t="s">
        <v>190</v>
      </c>
      <c r="E13" s="51">
        <f>N11*2</f>
        <v>628</v>
      </c>
      <c r="F13" s="377"/>
      <c r="G13" s="52">
        <f>E13*F13</f>
        <v>0</v>
      </c>
      <c r="H13" s="7"/>
      <c r="I13" s="48"/>
      <c r="J13" s="48"/>
      <c r="K13" s="48"/>
      <c r="L13" s="47"/>
      <c r="M13" s="48" t="s">
        <v>208</v>
      </c>
      <c r="N13" s="48">
        <f>N8*N9*N10*2</f>
        <v>86.39999999999999</v>
      </c>
      <c r="O13" s="48" t="s">
        <v>175</v>
      </c>
      <c r="P13" s="48"/>
    </row>
    <row r="14" spans="1:16" ht="14.25">
      <c r="A14" s="48">
        <v>2</v>
      </c>
      <c r="B14" s="393"/>
      <c r="C14" s="53" t="s">
        <v>37</v>
      </c>
      <c r="D14" s="48" t="s">
        <v>190</v>
      </c>
      <c r="E14" s="51">
        <f>N8*6*2</f>
        <v>72</v>
      </c>
      <c r="F14" s="377"/>
      <c r="G14" s="52">
        <f>E14*F14</f>
        <v>0</v>
      </c>
      <c r="H14" s="7"/>
      <c r="I14" s="48"/>
      <c r="J14" s="48"/>
      <c r="K14" s="48"/>
      <c r="L14" s="47"/>
      <c r="M14" s="48" t="s">
        <v>212</v>
      </c>
      <c r="N14" s="48">
        <v>8</v>
      </c>
      <c r="O14" s="48" t="s">
        <v>253</v>
      </c>
      <c r="P14" s="48"/>
    </row>
    <row r="15" spans="1:16" ht="28.5">
      <c r="A15" s="48">
        <v>3</v>
      </c>
      <c r="B15" s="393"/>
      <c r="C15" s="53" t="s">
        <v>260</v>
      </c>
      <c r="D15" s="48" t="s">
        <v>386</v>
      </c>
      <c r="E15" s="51">
        <f>N11*N12</f>
        <v>502.40000000000003</v>
      </c>
      <c r="F15" s="377"/>
      <c r="G15" s="52">
        <f>E15*F15</f>
        <v>0</v>
      </c>
      <c r="H15" s="7"/>
      <c r="I15" s="48"/>
      <c r="J15" s="48"/>
      <c r="K15" s="48"/>
      <c r="L15" s="75"/>
      <c r="M15" s="48"/>
      <c r="N15" s="48"/>
      <c r="O15" s="48" t="s">
        <v>209</v>
      </c>
      <c r="P15" s="48"/>
    </row>
    <row r="16" spans="1:16" ht="28.5">
      <c r="A16" s="48">
        <v>4</v>
      </c>
      <c r="B16" s="393"/>
      <c r="C16" s="53" t="s">
        <v>38</v>
      </c>
      <c r="D16" s="48" t="s">
        <v>386</v>
      </c>
      <c r="E16" s="51">
        <f>N8*N9*6</f>
        <v>43.199999999999996</v>
      </c>
      <c r="F16" s="377"/>
      <c r="G16" s="52">
        <f>E16*F16</f>
        <v>0</v>
      </c>
      <c r="H16" s="7"/>
      <c r="I16" s="76">
        <f>SUM(I9:I15)</f>
        <v>849.85</v>
      </c>
      <c r="J16" s="76">
        <f>SUM(J9:J15)</f>
        <v>147.84</v>
      </c>
      <c r="K16" s="76">
        <f>SUM(K9:K15)</f>
        <v>0</v>
      </c>
      <c r="L16" s="48">
        <f>SUM(I16:K16)</f>
        <v>997.69</v>
      </c>
      <c r="M16" s="76"/>
      <c r="N16" s="76"/>
      <c r="O16" s="48" t="s">
        <v>216</v>
      </c>
      <c r="P16" s="48"/>
    </row>
    <row r="17" spans="1:14" ht="28.5">
      <c r="A17" s="48">
        <v>5</v>
      </c>
      <c r="B17" s="393"/>
      <c r="C17" s="77" t="s">
        <v>268</v>
      </c>
      <c r="D17" s="50" t="s">
        <v>385</v>
      </c>
      <c r="E17" s="51">
        <f>(E15+E16)*0.1</f>
        <v>54.56</v>
      </c>
      <c r="F17" s="377"/>
      <c r="G17" s="52">
        <f>E17*F17</f>
        <v>0</v>
      </c>
      <c r="H17" s="7"/>
      <c r="J17" s="34"/>
      <c r="K17" s="34"/>
      <c r="L17" s="34"/>
      <c r="M17" s="34"/>
      <c r="N17" s="34"/>
    </row>
    <row r="18" spans="1:13" ht="28.5">
      <c r="A18" s="496">
        <v>6</v>
      </c>
      <c r="B18" s="404"/>
      <c r="C18" s="44" t="s">
        <v>198</v>
      </c>
      <c r="D18" s="43"/>
      <c r="E18" s="43"/>
      <c r="F18" s="360"/>
      <c r="G18" s="45"/>
      <c r="H18" s="7"/>
      <c r="J18" s="34"/>
      <c r="K18" s="34"/>
      <c r="L18" s="34"/>
      <c r="M18" s="34"/>
    </row>
    <row r="19" spans="1:13" ht="16.5">
      <c r="A19" s="497">
        <f>A18+1</f>
        <v>7</v>
      </c>
      <c r="B19" s="393"/>
      <c r="C19" s="49" t="s">
        <v>264</v>
      </c>
      <c r="D19" s="50" t="s">
        <v>385</v>
      </c>
      <c r="E19" s="51">
        <f>0.7*I16</f>
        <v>594.895</v>
      </c>
      <c r="F19" s="377"/>
      <c r="G19" s="52">
        <f>E19*F19</f>
        <v>0</v>
      </c>
      <c r="H19" s="7"/>
      <c r="I19" s="34"/>
      <c r="J19" s="34"/>
      <c r="K19" s="34"/>
      <c r="L19" s="34"/>
      <c r="M19" s="34"/>
    </row>
    <row r="20" spans="1:12" ht="16.5">
      <c r="A20" s="497">
        <f>A19+1</f>
        <v>8</v>
      </c>
      <c r="B20" s="393"/>
      <c r="C20" s="53" t="s">
        <v>263</v>
      </c>
      <c r="D20" s="50" t="s">
        <v>385</v>
      </c>
      <c r="E20" s="51">
        <f>0.05*I16</f>
        <v>42.49250000000001</v>
      </c>
      <c r="F20" s="377"/>
      <c r="G20" s="52">
        <f>E20*F20</f>
        <v>0</v>
      </c>
      <c r="H20" s="7"/>
      <c r="I20" s="34"/>
      <c r="J20" s="34"/>
      <c r="K20" s="34"/>
      <c r="L20" s="34"/>
    </row>
    <row r="21" spans="1:12" ht="15" customHeight="1">
      <c r="A21" s="498">
        <f>A20+1</f>
        <v>9</v>
      </c>
      <c r="B21" s="393"/>
      <c r="C21" s="49" t="s">
        <v>265</v>
      </c>
      <c r="D21" s="50" t="s">
        <v>385</v>
      </c>
      <c r="E21" s="51">
        <f>0.25*I16</f>
        <v>212.4625</v>
      </c>
      <c r="F21" s="377"/>
      <c r="G21" s="52">
        <f>E21*F21</f>
        <v>0</v>
      </c>
      <c r="H21" s="7"/>
      <c r="I21" s="34"/>
      <c r="J21" s="34"/>
      <c r="K21" s="34"/>
      <c r="L21" s="34"/>
    </row>
    <row r="22" spans="1:12" ht="28.5">
      <c r="A22" s="496">
        <v>7</v>
      </c>
      <c r="B22" s="404"/>
      <c r="C22" s="44" t="s">
        <v>202</v>
      </c>
      <c r="D22" s="43"/>
      <c r="E22" s="43"/>
      <c r="F22" s="360"/>
      <c r="G22" s="45"/>
      <c r="H22" s="7"/>
      <c r="J22" s="34"/>
      <c r="K22" s="34"/>
      <c r="L22" s="34"/>
    </row>
    <row r="23" spans="1:13" ht="16.5">
      <c r="A23" s="497">
        <f>A22+1</f>
        <v>8</v>
      </c>
      <c r="B23" s="393"/>
      <c r="C23" s="49" t="s">
        <v>264</v>
      </c>
      <c r="D23" s="50" t="s">
        <v>385</v>
      </c>
      <c r="E23" s="51">
        <f>0.7*J16</f>
        <v>103.488</v>
      </c>
      <c r="F23" s="377"/>
      <c r="G23" s="52">
        <f>E23*F23</f>
        <v>0</v>
      </c>
      <c r="H23" s="7"/>
      <c r="I23" s="34"/>
      <c r="J23" s="34"/>
      <c r="K23" s="34"/>
      <c r="L23" s="34"/>
      <c r="M23" s="34"/>
    </row>
    <row r="24" spans="1:12" ht="16.5">
      <c r="A24" s="497">
        <f>A23+1</f>
        <v>9</v>
      </c>
      <c r="B24" s="393"/>
      <c r="C24" s="53" t="s">
        <v>263</v>
      </c>
      <c r="D24" s="50" t="s">
        <v>385</v>
      </c>
      <c r="E24" s="51">
        <f>0.05*J16</f>
        <v>7.392</v>
      </c>
      <c r="F24" s="377"/>
      <c r="G24" s="52">
        <f>E24*F24</f>
        <v>0</v>
      </c>
      <c r="H24" s="7"/>
      <c r="I24" s="34"/>
      <c r="J24" s="34"/>
      <c r="K24" s="34"/>
      <c r="L24" s="34"/>
    </row>
    <row r="25" spans="1:12" ht="15" customHeight="1">
      <c r="A25" s="498">
        <f>A24+1</f>
        <v>10</v>
      </c>
      <c r="B25" s="393"/>
      <c r="C25" s="49" t="s">
        <v>265</v>
      </c>
      <c r="D25" s="50" t="s">
        <v>385</v>
      </c>
      <c r="E25" s="51">
        <f>0.25*J16</f>
        <v>36.96</v>
      </c>
      <c r="F25" s="377"/>
      <c r="G25" s="52">
        <f>E25*F25</f>
        <v>0</v>
      </c>
      <c r="H25" s="7"/>
      <c r="I25" s="34"/>
      <c r="J25" s="34"/>
      <c r="K25" s="34"/>
      <c r="L25" s="34"/>
    </row>
    <row r="26" spans="1:12" ht="15" customHeight="1">
      <c r="A26" s="496">
        <v>8</v>
      </c>
      <c r="B26" s="404"/>
      <c r="C26" s="44" t="s">
        <v>176</v>
      </c>
      <c r="D26" s="78"/>
      <c r="E26" s="78"/>
      <c r="F26" s="360"/>
      <c r="G26" s="79"/>
      <c r="H26" s="7"/>
      <c r="I26" s="34"/>
      <c r="J26" s="34"/>
      <c r="K26" s="34"/>
      <c r="L26" s="34"/>
    </row>
    <row r="27" spans="1:12" ht="15" customHeight="1">
      <c r="A27" s="497"/>
      <c r="B27" s="393"/>
      <c r="C27" s="49" t="s">
        <v>199</v>
      </c>
      <c r="D27" s="50" t="s">
        <v>385</v>
      </c>
      <c r="E27" s="51">
        <f>0.6*N13</f>
        <v>51.839999999999996</v>
      </c>
      <c r="F27" s="377"/>
      <c r="G27" s="52">
        <f aca="true" t="shared" si="0" ref="G27:G45">E27*F27</f>
        <v>0</v>
      </c>
      <c r="H27" s="7"/>
      <c r="I27" s="34"/>
      <c r="J27" s="34"/>
      <c r="K27" s="34"/>
      <c r="L27" s="34"/>
    </row>
    <row r="28" spans="1:12" ht="16.5" customHeight="1">
      <c r="A28" s="497"/>
      <c r="B28" s="393"/>
      <c r="C28" s="53" t="s">
        <v>266</v>
      </c>
      <c r="D28" s="50" t="s">
        <v>385</v>
      </c>
      <c r="E28" s="51">
        <f>0.05*N13</f>
        <v>4.319999999999999</v>
      </c>
      <c r="F28" s="377"/>
      <c r="G28" s="52">
        <f t="shared" si="0"/>
        <v>0</v>
      </c>
      <c r="H28" s="7"/>
      <c r="I28" s="34"/>
      <c r="J28" s="34"/>
      <c r="K28" s="34"/>
      <c r="L28" s="34"/>
    </row>
    <row r="29" spans="1:12" ht="15" customHeight="1">
      <c r="A29" s="498"/>
      <c r="B29" s="393"/>
      <c r="C29" s="49" t="s">
        <v>267</v>
      </c>
      <c r="D29" s="50" t="s">
        <v>385</v>
      </c>
      <c r="E29" s="51">
        <f>0.35*N13</f>
        <v>30.239999999999995</v>
      </c>
      <c r="F29" s="377"/>
      <c r="G29" s="52">
        <f t="shared" si="0"/>
        <v>0</v>
      </c>
      <c r="H29" s="7"/>
      <c r="I29" s="34"/>
      <c r="J29" s="34"/>
      <c r="K29" s="34"/>
      <c r="L29" s="51"/>
    </row>
    <row r="30" spans="1:8" ht="28.5">
      <c r="A30" s="48">
        <v>9</v>
      </c>
      <c r="B30" s="393"/>
      <c r="C30" s="80" t="s">
        <v>196</v>
      </c>
      <c r="D30" s="50" t="s">
        <v>385</v>
      </c>
      <c r="E30" s="51">
        <f>E21+E29+E25</f>
        <v>279.66249999999997</v>
      </c>
      <c r="F30" s="377"/>
      <c r="G30" s="52">
        <f t="shared" si="0"/>
        <v>0</v>
      </c>
      <c r="H30" s="7"/>
    </row>
    <row r="31" spans="1:8" ht="16.5">
      <c r="A31" s="48">
        <v>10</v>
      </c>
      <c r="B31" s="393"/>
      <c r="C31" s="55" t="s">
        <v>197</v>
      </c>
      <c r="D31" s="50" t="s">
        <v>385</v>
      </c>
      <c r="E31" s="81">
        <f>E30</f>
        <v>279.66249999999997</v>
      </c>
      <c r="F31" s="377"/>
      <c r="G31" s="52">
        <f t="shared" si="0"/>
        <v>0</v>
      </c>
      <c r="H31" s="7"/>
    </row>
    <row r="32" spans="1:8" ht="28.5">
      <c r="A32" s="48">
        <v>11</v>
      </c>
      <c r="B32" s="393"/>
      <c r="C32" s="80" t="s">
        <v>41</v>
      </c>
      <c r="D32" s="50" t="s">
        <v>385</v>
      </c>
      <c r="E32" s="51">
        <f>L16+N13</f>
        <v>1084.0900000000001</v>
      </c>
      <c r="F32" s="377"/>
      <c r="G32" s="52">
        <f t="shared" si="0"/>
        <v>0</v>
      </c>
      <c r="H32" s="7"/>
    </row>
    <row r="33" spans="1:16" s="30" customFormat="1" ht="16.5">
      <c r="A33" s="48">
        <v>12</v>
      </c>
      <c r="B33" s="393"/>
      <c r="C33" s="49" t="s">
        <v>387</v>
      </c>
      <c r="D33" s="48" t="s">
        <v>386</v>
      </c>
      <c r="E33" s="48">
        <f>N11*4</f>
        <v>1256</v>
      </c>
      <c r="F33" s="377"/>
      <c r="G33" s="52">
        <f t="shared" si="0"/>
        <v>0</v>
      </c>
      <c r="H33" s="7"/>
      <c r="I33" s="29"/>
      <c r="J33" s="29"/>
      <c r="K33" s="29"/>
      <c r="L33" s="29"/>
      <c r="M33" s="29"/>
      <c r="O33" s="29"/>
      <c r="P33" s="29"/>
    </row>
    <row r="34" spans="1:8" ht="15" customHeight="1">
      <c r="A34" s="48">
        <v>13</v>
      </c>
      <c r="B34" s="393"/>
      <c r="C34" s="80" t="s">
        <v>42</v>
      </c>
      <c r="D34" s="50" t="s">
        <v>385</v>
      </c>
      <c r="E34" s="51">
        <f>0.1*1.1*N11</f>
        <v>34.540000000000006</v>
      </c>
      <c r="F34" s="377"/>
      <c r="G34" s="52">
        <f t="shared" si="0"/>
        <v>0</v>
      </c>
      <c r="H34" s="7"/>
    </row>
    <row r="35" spans="1:8" ht="30" customHeight="1">
      <c r="A35" s="48">
        <v>14</v>
      </c>
      <c r="B35" s="393"/>
      <c r="C35" s="53" t="s">
        <v>43</v>
      </c>
      <c r="D35" s="50" t="s">
        <v>385</v>
      </c>
      <c r="E35" s="51"/>
      <c r="F35" s="377"/>
      <c r="G35" s="52">
        <f t="shared" si="0"/>
        <v>0</v>
      </c>
      <c r="H35" s="7"/>
    </row>
    <row r="36" spans="1:9" ht="14.25">
      <c r="A36" s="48">
        <v>15</v>
      </c>
      <c r="B36" s="393"/>
      <c r="C36" s="53" t="s">
        <v>291</v>
      </c>
      <c r="D36" s="48" t="s">
        <v>190</v>
      </c>
      <c r="E36" s="48">
        <f>N11</f>
        <v>314</v>
      </c>
      <c r="F36" s="377"/>
      <c r="G36" s="52">
        <f t="shared" si="0"/>
        <v>0</v>
      </c>
      <c r="H36" s="7"/>
      <c r="I36" s="34"/>
    </row>
    <row r="37" spans="1:14" ht="28.5">
      <c r="A37" s="48">
        <v>16</v>
      </c>
      <c r="B37" s="393"/>
      <c r="C37" s="53" t="s">
        <v>309</v>
      </c>
      <c r="D37" s="48" t="s">
        <v>191</v>
      </c>
      <c r="E37" s="48">
        <v>7</v>
      </c>
      <c r="F37" s="377"/>
      <c r="G37" s="52">
        <f t="shared" si="0"/>
        <v>0</v>
      </c>
      <c r="H37" s="7"/>
      <c r="N37" s="34"/>
    </row>
    <row r="38" spans="1:8" ht="28.5">
      <c r="A38" s="48">
        <v>17</v>
      </c>
      <c r="B38" s="393"/>
      <c r="C38" s="53" t="s">
        <v>313</v>
      </c>
      <c r="D38" s="48" t="s">
        <v>191</v>
      </c>
      <c r="E38" s="48">
        <v>1</v>
      </c>
      <c r="F38" s="377"/>
      <c r="G38" s="52">
        <f>E38*F38</f>
        <v>0</v>
      </c>
      <c r="H38" s="7"/>
    </row>
    <row r="39" spans="1:14" ht="14.25">
      <c r="A39" s="48">
        <v>18</v>
      </c>
      <c r="B39" s="393"/>
      <c r="C39" s="53" t="s">
        <v>200</v>
      </c>
      <c r="D39" s="48" t="s">
        <v>191</v>
      </c>
      <c r="E39" s="48">
        <f>N8</f>
        <v>6</v>
      </c>
      <c r="F39" s="377"/>
      <c r="G39" s="52">
        <f t="shared" si="0"/>
        <v>0</v>
      </c>
      <c r="H39" s="7"/>
      <c r="N39" s="34"/>
    </row>
    <row r="40" spans="1:16" ht="14.25">
      <c r="A40" s="48">
        <v>19</v>
      </c>
      <c r="B40" s="393"/>
      <c r="C40" s="49" t="s">
        <v>192</v>
      </c>
      <c r="D40" s="48" t="s">
        <v>193</v>
      </c>
      <c r="E40" s="51">
        <f>40*N11/2000</f>
        <v>6.28</v>
      </c>
      <c r="F40" s="377"/>
      <c r="G40" s="52">
        <f t="shared" si="0"/>
        <v>0</v>
      </c>
      <c r="H40" s="34"/>
      <c r="M40" s="30"/>
      <c r="N40" s="30"/>
      <c r="O40" s="30"/>
      <c r="P40" s="30"/>
    </row>
    <row r="41" spans="1:16" s="2" customFormat="1" ht="28.5">
      <c r="A41" s="48">
        <v>20</v>
      </c>
      <c r="B41" s="393"/>
      <c r="C41" s="77" t="s">
        <v>293</v>
      </c>
      <c r="D41" s="48" t="s">
        <v>195</v>
      </c>
      <c r="E41" s="82">
        <f>(E15+E16)*96/1000</f>
        <v>52.37760000000001</v>
      </c>
      <c r="F41" s="377"/>
      <c r="G41" s="52">
        <f t="shared" si="0"/>
        <v>0</v>
      </c>
      <c r="H41" s="7"/>
      <c r="I41" s="29"/>
      <c r="J41" s="29"/>
      <c r="K41" s="29"/>
      <c r="L41" s="29"/>
      <c r="M41" s="29"/>
      <c r="N41" s="29"/>
      <c r="O41" s="29"/>
      <c r="P41" s="29"/>
    </row>
    <row r="42" spans="1:16" s="2" customFormat="1" ht="28.5">
      <c r="A42" s="48">
        <v>21</v>
      </c>
      <c r="B42" s="393"/>
      <c r="C42" s="77" t="s">
        <v>20</v>
      </c>
      <c r="D42" s="48" t="s">
        <v>195</v>
      </c>
      <c r="E42" s="82">
        <f>(E15+E16)*0.06*2.4</f>
        <v>78.56639999999999</v>
      </c>
      <c r="F42" s="377"/>
      <c r="G42" s="52">
        <f t="shared" si="0"/>
        <v>0</v>
      </c>
      <c r="H42" s="7"/>
      <c r="I42" s="29"/>
      <c r="J42" s="29"/>
      <c r="K42" s="29"/>
      <c r="L42" s="29"/>
      <c r="M42" s="29"/>
      <c r="N42" s="30"/>
      <c r="O42" s="29"/>
      <c r="P42" s="29"/>
    </row>
    <row r="43" spans="1:14" ht="28.5">
      <c r="A43" s="48">
        <v>22</v>
      </c>
      <c r="B43" s="393"/>
      <c r="C43" s="53" t="s">
        <v>21</v>
      </c>
      <c r="D43" s="83" t="s">
        <v>385</v>
      </c>
      <c r="E43" s="84">
        <v>219.42</v>
      </c>
      <c r="F43" s="377"/>
      <c r="G43" s="52">
        <f t="shared" si="0"/>
        <v>0</v>
      </c>
      <c r="H43" s="7"/>
      <c r="N43" s="3"/>
    </row>
    <row r="44" spans="1:16" s="2" customFormat="1" ht="14.25">
      <c r="A44" s="48">
        <v>23</v>
      </c>
      <c r="B44" s="393"/>
      <c r="C44" s="77" t="s">
        <v>194</v>
      </c>
      <c r="D44" s="74" t="s">
        <v>190</v>
      </c>
      <c r="E44" s="85">
        <f>E13</f>
        <v>628</v>
      </c>
      <c r="F44" s="377"/>
      <c r="G44" s="52">
        <f t="shared" si="0"/>
        <v>0</v>
      </c>
      <c r="H44" s="7"/>
      <c r="I44" s="29"/>
      <c r="J44" s="29"/>
      <c r="K44" s="29"/>
      <c r="L44" s="29"/>
      <c r="M44" s="29"/>
      <c r="N44" s="3"/>
      <c r="O44" s="30"/>
      <c r="P44" s="30"/>
    </row>
    <row r="45" spans="1:16" s="2" customFormat="1" ht="12.75" customHeight="1">
      <c r="A45" s="48">
        <v>24</v>
      </c>
      <c r="B45" s="393"/>
      <c r="C45" s="55" t="s">
        <v>201</v>
      </c>
      <c r="D45" s="50" t="s">
        <v>190</v>
      </c>
      <c r="E45" s="50">
        <f>N11</f>
        <v>314</v>
      </c>
      <c r="F45" s="377"/>
      <c r="G45" s="52">
        <f t="shared" si="0"/>
        <v>0</v>
      </c>
      <c r="H45" s="7"/>
      <c r="I45" s="29"/>
      <c r="J45" s="29"/>
      <c r="K45" s="29"/>
      <c r="L45" s="29"/>
      <c r="M45" s="29"/>
      <c r="N45" s="29"/>
      <c r="O45" s="29"/>
      <c r="P45" s="29"/>
    </row>
    <row r="46" spans="5:7" ht="15">
      <c r="E46" s="57"/>
      <c r="F46" s="58" t="s">
        <v>364</v>
      </c>
      <c r="G46" s="59">
        <f>SUM(G13:G45)</f>
        <v>0</v>
      </c>
    </row>
    <row r="47" spans="5:7" ht="15" customHeight="1">
      <c r="E47" s="484" t="s">
        <v>206</v>
      </c>
      <c r="F47" s="484"/>
      <c r="G47" s="59">
        <f>G46*0.2</f>
        <v>0</v>
      </c>
    </row>
    <row r="48" spans="3:7" ht="15">
      <c r="C48" s="26"/>
      <c r="E48" s="57"/>
      <c r="F48" s="60" t="s">
        <v>365</v>
      </c>
      <c r="G48" s="59">
        <f>G46+G47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5" s="67" customFormat="1" ht="15">
      <c r="A54" s="65" t="s">
        <v>373</v>
      </c>
      <c r="B54" s="2"/>
      <c r="C54" s="65"/>
      <c r="D54" s="66" t="s">
        <v>374</v>
      </c>
      <c r="E54" s="24"/>
    </row>
    <row r="55" spans="1:5" s="67" customFormat="1" ht="12.75">
      <c r="A55" s="11"/>
      <c r="B55" s="2"/>
      <c r="C55" s="11"/>
      <c r="D55" s="2"/>
      <c r="E55" s="24"/>
    </row>
    <row r="56" spans="1:5" s="67" customFormat="1" ht="14.25">
      <c r="A56" s="11"/>
      <c r="B56" s="2"/>
      <c r="C56" s="68"/>
      <c r="D56" s="69" t="s">
        <v>375</v>
      </c>
      <c r="E56" s="24"/>
    </row>
    <row r="57" spans="1:5" s="67" customFormat="1" ht="12.75">
      <c r="A57" s="11"/>
      <c r="B57" s="2"/>
      <c r="C57" s="11"/>
      <c r="D57" s="2"/>
      <c r="E57" s="70" t="s">
        <v>376</v>
      </c>
    </row>
    <row r="58" spans="1:5" s="67" customFormat="1" ht="14.25">
      <c r="A58" s="11"/>
      <c r="B58" s="2"/>
      <c r="C58" s="68"/>
      <c r="D58" s="69" t="s">
        <v>377</v>
      </c>
      <c r="E58" s="24"/>
    </row>
    <row r="59" spans="1:5" s="67" customFormat="1" ht="12.75">
      <c r="A59" s="11"/>
      <c r="B59" s="2"/>
      <c r="C59" s="11"/>
      <c r="D59" s="71" t="s">
        <v>378</v>
      </c>
      <c r="E59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47:F47"/>
    <mergeCell ref="A26:A29"/>
    <mergeCell ref="A18:A21"/>
    <mergeCell ref="A22:A25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horizontalDpi="600" verticalDpi="6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5"/>
  <sheetViews>
    <sheetView zoomScale="90" zoomScaleNormal="90" zoomScalePageLayoutView="0" workbookViewId="0" topLeftCell="A1">
      <selection activeCell="A1" sqref="A1:IV4"/>
    </sheetView>
  </sheetViews>
  <sheetFormatPr defaultColWidth="9.140625" defaultRowHeight="12.75"/>
  <cols>
    <col min="1" max="1" width="7.28125" style="29" customWidth="1"/>
    <col min="2" max="2" width="18.8515625" style="29" customWidth="1"/>
    <col min="3" max="3" width="63.14062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7.8515625" style="29" customWidth="1"/>
    <col min="9" max="9" width="8.00390625" style="29" bestFit="1" customWidth="1"/>
    <col min="10" max="10" width="8.57421875" style="29" customWidth="1"/>
    <col min="11" max="11" width="7.8515625" style="29" customWidth="1"/>
    <col min="12" max="12" width="8.7109375" style="29" customWidth="1"/>
    <col min="13" max="13" width="8.8515625" style="29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510" t="s">
        <v>16</v>
      </c>
      <c r="D5" s="510"/>
      <c r="E5" s="510"/>
      <c r="F5" s="510"/>
      <c r="G5" s="510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6">
        <v>45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6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4" s="30" customFormat="1" ht="15" customHeight="1">
      <c r="A8" s="499"/>
      <c r="B8" s="499"/>
      <c r="C8" s="499"/>
      <c r="D8" s="499"/>
      <c r="E8" s="499"/>
      <c r="F8" s="499"/>
      <c r="G8" s="499"/>
      <c r="H8" s="36"/>
      <c r="I8" s="34"/>
      <c r="J8" s="34"/>
      <c r="K8" s="34"/>
      <c r="L8" s="34"/>
      <c r="M8" s="37"/>
      <c r="N8" s="38"/>
    </row>
    <row r="9" spans="1:14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34"/>
      <c r="J9" s="34"/>
      <c r="K9" s="34"/>
      <c r="L9" s="34"/>
      <c r="M9" s="34"/>
      <c r="N9" s="34"/>
    </row>
    <row r="10" spans="1:14" ht="15.75" customHeight="1" thickBot="1">
      <c r="A10" s="493" t="s">
        <v>372</v>
      </c>
      <c r="B10" s="490" t="s">
        <v>363</v>
      </c>
      <c r="C10" s="490" t="s">
        <v>369</v>
      </c>
      <c r="D10" s="493" t="s">
        <v>189</v>
      </c>
      <c r="E10" s="493" t="s">
        <v>366</v>
      </c>
      <c r="F10" s="511" t="s">
        <v>203</v>
      </c>
      <c r="G10" s="511" t="s">
        <v>368</v>
      </c>
      <c r="H10" s="40"/>
      <c r="I10" s="34"/>
      <c r="J10" s="34"/>
      <c r="K10" s="34"/>
      <c r="L10" s="34"/>
      <c r="M10" s="34"/>
      <c r="N10" s="34"/>
    </row>
    <row r="11" spans="1:16" ht="15" thickBot="1">
      <c r="A11" s="494"/>
      <c r="B11" s="490"/>
      <c r="C11" s="490"/>
      <c r="D11" s="494"/>
      <c r="E11" s="494"/>
      <c r="F11" s="512"/>
      <c r="G11" s="512"/>
      <c r="H11" s="14"/>
      <c r="I11" s="34"/>
      <c r="J11" s="34"/>
      <c r="K11" s="34"/>
      <c r="L11" s="34"/>
      <c r="M11" s="34"/>
      <c r="N11" s="15"/>
      <c r="O11" s="15"/>
      <c r="P11" s="15"/>
    </row>
    <row r="12" spans="1:13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34"/>
      <c r="J12" s="34"/>
      <c r="K12" s="34"/>
      <c r="L12" s="34"/>
      <c r="M12" s="34"/>
    </row>
    <row r="13" spans="1:13" ht="28.5">
      <c r="A13" s="496">
        <v>1</v>
      </c>
      <c r="B13" s="43"/>
      <c r="C13" s="44" t="s">
        <v>90</v>
      </c>
      <c r="D13" s="43"/>
      <c r="E13" s="43"/>
      <c r="F13" s="403"/>
      <c r="G13" s="45"/>
      <c r="H13" s="46"/>
      <c r="I13" s="34"/>
      <c r="J13" s="34"/>
      <c r="K13" s="34"/>
      <c r="L13" s="34"/>
      <c r="M13" s="34"/>
    </row>
    <row r="14" spans="1:13" ht="16.5">
      <c r="A14" s="497">
        <f>A13+1</f>
        <v>2</v>
      </c>
      <c r="B14" s="357"/>
      <c r="C14" s="49" t="s">
        <v>140</v>
      </c>
      <c r="D14" s="50" t="s">
        <v>385</v>
      </c>
      <c r="E14" s="51">
        <v>22</v>
      </c>
      <c r="F14" s="377"/>
      <c r="G14" s="52">
        <f aca="true" t="shared" si="0" ref="G14:G20">E14*F14</f>
        <v>0</v>
      </c>
      <c r="H14" s="46"/>
      <c r="I14" s="34"/>
      <c r="J14" s="34"/>
      <c r="K14" s="34"/>
      <c r="L14" s="34"/>
      <c r="M14" s="34"/>
    </row>
    <row r="15" spans="1:13" ht="16.5">
      <c r="A15" s="497">
        <f>A14+1</f>
        <v>3</v>
      </c>
      <c r="B15" s="357"/>
      <c r="C15" s="53" t="s">
        <v>263</v>
      </c>
      <c r="D15" s="50" t="s">
        <v>385</v>
      </c>
      <c r="E15" s="51">
        <v>1.2</v>
      </c>
      <c r="F15" s="377"/>
      <c r="G15" s="52">
        <f t="shared" si="0"/>
        <v>0</v>
      </c>
      <c r="H15" s="46"/>
      <c r="I15" s="34"/>
      <c r="J15" s="34"/>
      <c r="K15" s="34"/>
      <c r="L15" s="34"/>
      <c r="M15" s="34"/>
    </row>
    <row r="16" spans="1:13" ht="16.5">
      <c r="A16" s="498">
        <f>A15+1</f>
        <v>4</v>
      </c>
      <c r="B16" s="357"/>
      <c r="C16" s="49" t="s">
        <v>139</v>
      </c>
      <c r="D16" s="50" t="s">
        <v>385</v>
      </c>
      <c r="E16" s="51">
        <v>1.2</v>
      </c>
      <c r="F16" s="377"/>
      <c r="G16" s="52">
        <f t="shared" si="0"/>
        <v>0</v>
      </c>
      <c r="H16" s="46"/>
      <c r="I16" s="34"/>
      <c r="J16" s="34"/>
      <c r="K16" s="34"/>
      <c r="L16" s="34"/>
      <c r="M16" s="34"/>
    </row>
    <row r="17" spans="1:13" ht="14.25">
      <c r="A17" s="48">
        <v>2</v>
      </c>
      <c r="B17" s="357"/>
      <c r="C17" s="53" t="s">
        <v>384</v>
      </c>
      <c r="D17" s="50" t="s">
        <v>190</v>
      </c>
      <c r="E17" s="48">
        <v>145</v>
      </c>
      <c r="F17" s="377"/>
      <c r="G17" s="52">
        <f t="shared" si="0"/>
        <v>0</v>
      </c>
      <c r="H17" s="46"/>
      <c r="I17" s="34"/>
      <c r="J17" s="34"/>
      <c r="K17" s="34"/>
      <c r="L17" s="34"/>
      <c r="M17" s="34"/>
    </row>
    <row r="18" spans="1:13" ht="14.25">
      <c r="A18" s="48">
        <v>3</v>
      </c>
      <c r="B18" s="357"/>
      <c r="C18" s="55" t="s">
        <v>89</v>
      </c>
      <c r="D18" s="50" t="s">
        <v>190</v>
      </c>
      <c r="E18" s="50">
        <f>E17</f>
        <v>145</v>
      </c>
      <c r="F18" s="377"/>
      <c r="G18" s="52">
        <f t="shared" si="0"/>
        <v>0</v>
      </c>
      <c r="H18" s="7"/>
      <c r="M18" s="34"/>
    </row>
    <row r="19" spans="1:13" ht="14.25">
      <c r="A19" s="48">
        <v>4</v>
      </c>
      <c r="B19" s="357"/>
      <c r="C19" s="55" t="s">
        <v>147</v>
      </c>
      <c r="D19" s="50" t="s">
        <v>190</v>
      </c>
      <c r="E19" s="50">
        <f>E17</f>
        <v>145</v>
      </c>
      <c r="F19" s="377"/>
      <c r="G19" s="52">
        <f t="shared" si="0"/>
        <v>0</v>
      </c>
      <c r="H19" s="7"/>
      <c r="M19" s="34"/>
    </row>
    <row r="20" spans="1:8" ht="14.25">
      <c r="A20" s="48">
        <v>5</v>
      </c>
      <c r="B20" s="357"/>
      <c r="C20" s="55" t="s">
        <v>91</v>
      </c>
      <c r="D20" s="50" t="s">
        <v>191</v>
      </c>
      <c r="E20" s="50">
        <v>1</v>
      </c>
      <c r="F20" s="377"/>
      <c r="G20" s="52">
        <f t="shared" si="0"/>
        <v>0</v>
      </c>
      <c r="H20" s="56"/>
    </row>
    <row r="21" spans="5:8" ht="15">
      <c r="E21" s="57"/>
      <c r="F21" s="58" t="s">
        <v>364</v>
      </c>
      <c r="G21" s="59">
        <f>SUM(G14:G20)</f>
        <v>0</v>
      </c>
      <c r="H21" s="7"/>
    </row>
    <row r="22" spans="5:8" ht="15">
      <c r="E22" s="484" t="s">
        <v>206</v>
      </c>
      <c r="F22" s="484"/>
      <c r="G22" s="59">
        <f>G21*0.2</f>
        <v>0</v>
      </c>
      <c r="H22" s="7"/>
    </row>
    <row r="23" spans="3:8" ht="15">
      <c r="C23" s="26"/>
      <c r="E23" s="57"/>
      <c r="F23" s="60" t="s">
        <v>365</v>
      </c>
      <c r="G23" s="59">
        <f>SUM(G21:G22)</f>
        <v>0</v>
      </c>
      <c r="H23" s="7"/>
    </row>
    <row r="24" spans="3:16" ht="14.25">
      <c r="C24" s="61"/>
      <c r="D24" s="62"/>
      <c r="E24" s="62"/>
      <c r="H24" s="7"/>
      <c r="O24" s="3"/>
      <c r="P24" s="6"/>
    </row>
    <row r="25" spans="2:16" ht="18.75">
      <c r="B25" s="63" t="s">
        <v>370</v>
      </c>
      <c r="C25" s="64" t="s">
        <v>371</v>
      </c>
      <c r="D25" s="62"/>
      <c r="E25" s="62"/>
      <c r="H25" s="28"/>
      <c r="I25" s="28"/>
      <c r="J25" s="28"/>
      <c r="K25" s="28"/>
      <c r="L25" s="28"/>
      <c r="M25" s="28"/>
      <c r="N25" s="28"/>
      <c r="O25" s="28"/>
      <c r="P25" s="28"/>
    </row>
    <row r="26" spans="8:16" ht="14.25">
      <c r="H26" s="28"/>
      <c r="I26" s="28"/>
      <c r="J26" s="28"/>
      <c r="K26" s="28"/>
      <c r="L26" s="28"/>
      <c r="M26" s="28"/>
      <c r="N26" s="28"/>
      <c r="O26" s="28"/>
      <c r="P26" s="28"/>
    </row>
    <row r="27" spans="8:16" ht="15" customHeight="1">
      <c r="H27" s="28"/>
      <c r="I27" s="28"/>
      <c r="J27" s="28"/>
      <c r="K27" s="28"/>
      <c r="L27" s="28"/>
      <c r="M27" s="28"/>
      <c r="N27" s="28"/>
      <c r="O27" s="28"/>
      <c r="P27" s="28"/>
    </row>
    <row r="28" spans="8:16" ht="14.25">
      <c r="H28" s="28"/>
      <c r="I28" s="28"/>
      <c r="J28" s="28"/>
      <c r="K28" s="28"/>
      <c r="L28" s="28"/>
      <c r="M28" s="28"/>
      <c r="N28" s="28"/>
      <c r="O28" s="28"/>
      <c r="P28" s="28"/>
    </row>
    <row r="29" spans="1:5" s="67" customFormat="1" ht="15">
      <c r="A29" s="65" t="s">
        <v>373</v>
      </c>
      <c r="B29" s="2"/>
      <c r="C29" s="65"/>
      <c r="D29" s="66" t="s">
        <v>374</v>
      </c>
      <c r="E29" s="24"/>
    </row>
    <row r="30" spans="1:5" s="67" customFormat="1" ht="12.75">
      <c r="A30" s="11"/>
      <c r="B30" s="2"/>
      <c r="C30" s="11"/>
      <c r="D30" s="2"/>
      <c r="E30" s="24"/>
    </row>
    <row r="31" spans="1:5" s="67" customFormat="1" ht="14.25">
      <c r="A31" s="11"/>
      <c r="B31" s="2"/>
      <c r="C31" s="68"/>
      <c r="D31" s="69" t="s">
        <v>375</v>
      </c>
      <c r="E31" s="24"/>
    </row>
    <row r="32" spans="1:5" s="67" customFormat="1" ht="12.75">
      <c r="A32" s="11"/>
      <c r="B32" s="2"/>
      <c r="C32" s="11"/>
      <c r="D32" s="2"/>
      <c r="E32" s="70" t="s">
        <v>376</v>
      </c>
    </row>
    <row r="33" spans="1:5" s="67" customFormat="1" ht="14.25">
      <c r="A33" s="11"/>
      <c r="B33" s="2"/>
      <c r="C33" s="68"/>
      <c r="D33" s="69" t="s">
        <v>377</v>
      </c>
      <c r="E33" s="24"/>
    </row>
    <row r="34" spans="1:5" s="67" customFormat="1" ht="12.75">
      <c r="A34" s="11"/>
      <c r="B34" s="2"/>
      <c r="C34" s="11"/>
      <c r="D34" s="71" t="s">
        <v>378</v>
      </c>
      <c r="E34" s="24"/>
    </row>
    <row r="35" ht="14.25">
      <c r="M35" s="30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25:E34" name="Range1"/>
    <protectedRange password="CF7A" sqref="A9:A12 C9:E9 B9:B10 B12:E12 C10:C11" name="Range1_2"/>
    <protectedRange password="CF7A" sqref="F22 E21:E23" name="Range1_1"/>
    <protectedRange password="CF7A" sqref="A6:E7" name="Range1_3"/>
  </protectedRanges>
  <mergeCells count="18">
    <mergeCell ref="C1:G1"/>
    <mergeCell ref="C3:G3"/>
    <mergeCell ref="A4:B4"/>
    <mergeCell ref="C4:G4"/>
    <mergeCell ref="C10:C11"/>
    <mergeCell ref="D10:D11"/>
    <mergeCell ref="E10:E11"/>
    <mergeCell ref="F10:F11"/>
    <mergeCell ref="C5:G5"/>
    <mergeCell ref="E22:F22"/>
    <mergeCell ref="A6:E7"/>
    <mergeCell ref="A9:E9"/>
    <mergeCell ref="A8:G8"/>
    <mergeCell ref="A13:A16"/>
    <mergeCell ref="G10:G11"/>
    <mergeCell ref="F6:F7"/>
    <mergeCell ref="A10:A11"/>
    <mergeCell ref="B10:B11"/>
  </mergeCells>
  <printOptions horizontalCentered="1"/>
  <pageMargins left="0.5905511811023623" right="0.15748031496062992" top="0.4330708661417323" bottom="0.5118110236220472" header="0.3937007874015748" footer="0.3937007874015748"/>
  <pageSetup horizontalDpi="600" verticalDpi="6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03"/>
  <sheetViews>
    <sheetView zoomScale="106" zoomScaleNormal="106" zoomScalePageLayoutView="0" workbookViewId="0" topLeftCell="A217">
      <selection activeCell="C222" sqref="C222"/>
    </sheetView>
  </sheetViews>
  <sheetFormatPr defaultColWidth="9.140625" defaultRowHeight="12.75"/>
  <cols>
    <col min="1" max="1" width="6.140625" style="142" customWidth="1"/>
    <col min="2" max="2" width="21.28125" style="323" customWidth="1"/>
    <col min="3" max="3" width="59.140625" style="141" customWidth="1"/>
    <col min="4" max="4" width="7.8515625" style="141" customWidth="1"/>
    <col min="5" max="5" width="9.28125" style="143" customWidth="1"/>
    <col min="6" max="6" width="10.7109375" style="142" customWidth="1"/>
    <col min="7" max="7" width="16.7109375" style="145" customWidth="1"/>
    <col min="8" max="8" width="9.140625" style="141" hidden="1" customWidth="1"/>
    <col min="9" max="16384" width="9.140625" style="141" customWidth="1"/>
  </cols>
  <sheetData>
    <row r="1" spans="1:7" ht="15">
      <c r="A1" s="463"/>
      <c r="B1" s="447" t="s">
        <v>560</v>
      </c>
      <c r="C1" s="474" t="s">
        <v>380</v>
      </c>
      <c r="D1" s="474"/>
      <c r="E1" s="474"/>
      <c r="F1" s="474"/>
      <c r="G1" s="474"/>
    </row>
    <row r="2" spans="1:7" ht="15">
      <c r="A2" s="464"/>
      <c r="B2" s="447" t="s">
        <v>561</v>
      </c>
      <c r="C2" s="203" t="s">
        <v>564</v>
      </c>
      <c r="E2" s="141"/>
      <c r="F2" s="445"/>
      <c r="G2" s="141"/>
    </row>
    <row r="3" spans="1:7" ht="30.75" customHeight="1">
      <c r="A3" s="463"/>
      <c r="B3" s="448" t="s">
        <v>558</v>
      </c>
      <c r="C3" s="479"/>
      <c r="D3" s="479"/>
      <c r="E3" s="479"/>
      <c r="F3" s="479"/>
      <c r="G3" s="479"/>
    </row>
    <row r="4" spans="1:7" ht="18" customHeight="1">
      <c r="A4" s="471" t="s">
        <v>559</v>
      </c>
      <c r="B4" s="471"/>
      <c r="C4" s="474"/>
      <c r="D4" s="474"/>
      <c r="E4" s="474"/>
      <c r="F4" s="474"/>
      <c r="G4" s="474"/>
    </row>
    <row r="5" spans="1:9" s="137" customFormat="1" ht="15" customHeight="1">
      <c r="A5" s="183"/>
      <c r="B5" s="465" t="s">
        <v>18</v>
      </c>
      <c r="C5" s="35" t="s">
        <v>540</v>
      </c>
      <c r="D5" s="35"/>
      <c r="E5" s="35"/>
      <c r="F5" s="211"/>
      <c r="G5" s="211"/>
      <c r="H5" s="35"/>
      <c r="I5" s="35"/>
    </row>
    <row r="6" spans="1:8" s="137" customFormat="1" ht="15">
      <c r="A6" s="183"/>
      <c r="B6" s="466" t="s">
        <v>440</v>
      </c>
      <c r="C6" s="168" t="s">
        <v>446</v>
      </c>
      <c r="D6" s="166"/>
      <c r="E6" s="138"/>
      <c r="F6" s="138"/>
      <c r="G6" s="138"/>
      <c r="H6" s="138"/>
    </row>
    <row r="7" spans="1:8" s="137" customFormat="1" ht="15">
      <c r="A7" s="139"/>
      <c r="B7" s="318"/>
      <c r="C7" s="518"/>
      <c r="D7" s="518"/>
      <c r="E7" s="518"/>
      <c r="F7" s="518"/>
      <c r="G7" s="518"/>
      <c r="H7" s="518"/>
    </row>
    <row r="8" spans="1:7" s="213" customFormat="1" ht="20.25">
      <c r="A8" s="516" t="s">
        <v>513</v>
      </c>
      <c r="B8" s="516"/>
      <c r="C8" s="516"/>
      <c r="D8" s="516"/>
      <c r="E8" s="516"/>
      <c r="F8" s="169" t="s">
        <v>539</v>
      </c>
      <c r="G8" s="163"/>
    </row>
    <row r="9" spans="1:8" s="29" customFormat="1" ht="15.75" customHeight="1" thickBot="1">
      <c r="A9" s="488"/>
      <c r="B9" s="488"/>
      <c r="C9" s="488"/>
      <c r="D9" s="488"/>
      <c r="E9" s="488"/>
      <c r="F9" s="118"/>
      <c r="G9" s="252" t="s">
        <v>367</v>
      </c>
      <c r="H9" s="26"/>
    </row>
    <row r="10" spans="1:8" s="29" customFormat="1" ht="15.75" customHeight="1" thickBot="1">
      <c r="A10" s="493" t="s">
        <v>372</v>
      </c>
      <c r="B10" s="503" t="s">
        <v>363</v>
      </c>
      <c r="C10" s="490" t="s">
        <v>369</v>
      </c>
      <c r="D10" s="493" t="s">
        <v>189</v>
      </c>
      <c r="E10" s="493" t="s">
        <v>366</v>
      </c>
      <c r="F10" s="511" t="s">
        <v>203</v>
      </c>
      <c r="G10" s="511" t="s">
        <v>368</v>
      </c>
      <c r="H10" s="40"/>
    </row>
    <row r="11" spans="1:8" s="29" customFormat="1" ht="29.25" customHeight="1" thickBot="1">
      <c r="A11" s="494"/>
      <c r="B11" s="503"/>
      <c r="C11" s="490"/>
      <c r="D11" s="494"/>
      <c r="E11" s="494"/>
      <c r="F11" s="512"/>
      <c r="G11" s="512"/>
      <c r="H11" s="140"/>
    </row>
    <row r="12" spans="1:8" s="29" customFormat="1" ht="15" thickBot="1">
      <c r="A12" s="41">
        <v>1</v>
      </c>
      <c r="B12" s="319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</row>
    <row r="13" spans="1:7" ht="18.75" customHeight="1">
      <c r="A13" s="291">
        <v>1</v>
      </c>
      <c r="B13" s="383"/>
      <c r="C13" s="172" t="s">
        <v>405</v>
      </c>
      <c r="D13" s="292" t="s">
        <v>385</v>
      </c>
      <c r="E13" s="292">
        <v>214</v>
      </c>
      <c r="F13" s="386"/>
      <c r="G13" s="293">
        <f>E13*F13</f>
        <v>0</v>
      </c>
    </row>
    <row r="14" spans="1:7" ht="18" customHeight="1">
      <c r="A14" s="185">
        <v>2</v>
      </c>
      <c r="B14" s="384"/>
      <c r="C14" s="294" t="s">
        <v>406</v>
      </c>
      <c r="D14" s="292" t="s">
        <v>385</v>
      </c>
      <c r="E14" s="292">
        <v>192</v>
      </c>
      <c r="F14" s="386"/>
      <c r="G14" s="293">
        <f aca="true" t="shared" si="0" ref="G14:G20">E14*F14</f>
        <v>0</v>
      </c>
    </row>
    <row r="15" spans="1:7" ht="35.25" customHeight="1">
      <c r="A15" s="259">
        <v>3</v>
      </c>
      <c r="B15" s="385"/>
      <c r="C15" s="172" t="s">
        <v>407</v>
      </c>
      <c r="D15" s="292" t="s">
        <v>385</v>
      </c>
      <c r="E15" s="259">
        <v>3</v>
      </c>
      <c r="F15" s="386"/>
      <c r="G15" s="293">
        <f t="shared" si="0"/>
        <v>0</v>
      </c>
    </row>
    <row r="16" spans="1:7" ht="18.75" customHeight="1">
      <c r="A16" s="185">
        <v>4</v>
      </c>
      <c r="B16" s="384"/>
      <c r="C16" s="294" t="s">
        <v>408</v>
      </c>
      <c r="D16" s="292" t="s">
        <v>386</v>
      </c>
      <c r="E16" s="292">
        <v>21.5</v>
      </c>
      <c r="F16" s="386"/>
      <c r="G16" s="293">
        <f t="shared" si="0"/>
        <v>0</v>
      </c>
    </row>
    <row r="17" spans="1:7" ht="18.75" customHeight="1">
      <c r="A17" s="185">
        <v>5</v>
      </c>
      <c r="B17" s="384"/>
      <c r="C17" s="294" t="s">
        <v>409</v>
      </c>
      <c r="D17" s="292" t="s">
        <v>251</v>
      </c>
      <c r="E17" s="292">
        <v>1128</v>
      </c>
      <c r="F17" s="386"/>
      <c r="G17" s="293">
        <f t="shared" si="0"/>
        <v>0</v>
      </c>
    </row>
    <row r="18" spans="1:7" ht="18.75" customHeight="1">
      <c r="A18" s="185">
        <v>6</v>
      </c>
      <c r="B18" s="384"/>
      <c r="C18" s="294" t="s">
        <v>410</v>
      </c>
      <c r="D18" s="292" t="s">
        <v>385</v>
      </c>
      <c r="E18" s="292">
        <v>6</v>
      </c>
      <c r="F18" s="386"/>
      <c r="G18" s="293">
        <f t="shared" si="0"/>
        <v>0</v>
      </c>
    </row>
    <row r="19" spans="1:7" ht="18.75" customHeight="1">
      <c r="A19" s="185">
        <v>7</v>
      </c>
      <c r="B19" s="384"/>
      <c r="C19" s="294" t="s">
        <v>411</v>
      </c>
      <c r="D19" s="292" t="s">
        <v>385</v>
      </c>
      <c r="E19" s="292">
        <v>8</v>
      </c>
      <c r="F19" s="386"/>
      <c r="G19" s="293">
        <f t="shared" si="0"/>
        <v>0</v>
      </c>
    </row>
    <row r="20" spans="1:7" ht="18.75" customHeight="1">
      <c r="A20" s="185">
        <v>8</v>
      </c>
      <c r="B20" s="384"/>
      <c r="C20" s="294" t="s">
        <v>412</v>
      </c>
      <c r="D20" s="292" t="s">
        <v>386</v>
      </c>
      <c r="E20" s="292">
        <v>18</v>
      </c>
      <c r="F20" s="386"/>
      <c r="G20" s="293">
        <f t="shared" si="0"/>
        <v>0</v>
      </c>
    </row>
    <row r="21" spans="2:8" s="29" customFormat="1" ht="15">
      <c r="B21" s="320"/>
      <c r="E21" s="57"/>
      <c r="F21" s="58" t="s">
        <v>364</v>
      </c>
      <c r="G21" s="59">
        <f>SUM(G13:H20)</f>
        <v>0</v>
      </c>
      <c r="H21" s="7"/>
    </row>
    <row r="22" spans="2:8" s="29" customFormat="1" ht="15">
      <c r="B22" s="320"/>
      <c r="E22" s="484" t="s">
        <v>206</v>
      </c>
      <c r="F22" s="484"/>
      <c r="G22" s="59">
        <f>G21*0.2</f>
        <v>0</v>
      </c>
      <c r="H22" s="7"/>
    </row>
    <row r="23" spans="2:8" s="29" customFormat="1" ht="15">
      <c r="B23" s="320"/>
      <c r="C23" s="26"/>
      <c r="E23" s="57"/>
      <c r="F23" s="60" t="s">
        <v>365</v>
      </c>
      <c r="G23" s="59">
        <f>G21+G22</f>
        <v>0</v>
      </c>
      <c r="H23" s="7"/>
    </row>
    <row r="24" spans="2:16" s="29" customFormat="1" ht="14.25">
      <c r="B24" s="320"/>
      <c r="C24" s="61"/>
      <c r="D24" s="62"/>
      <c r="E24" s="62"/>
      <c r="H24" s="7"/>
      <c r="O24" s="3"/>
      <c r="P24" s="6"/>
    </row>
    <row r="25" spans="2:16" s="29" customFormat="1" ht="18.75">
      <c r="B25" s="321" t="s">
        <v>370</v>
      </c>
      <c r="C25" s="64" t="s">
        <v>371</v>
      </c>
      <c r="D25" s="62"/>
      <c r="E25" s="62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29" customFormat="1" ht="14.25">
      <c r="B26" s="320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29" customFormat="1" ht="15" customHeight="1">
      <c r="B27" s="320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29" customFormat="1" ht="14.25">
      <c r="B28" s="320"/>
      <c r="H28" s="28"/>
      <c r="I28" s="28"/>
      <c r="J28" s="28"/>
      <c r="K28" s="28"/>
      <c r="L28" s="28"/>
      <c r="M28" s="28"/>
      <c r="N28" s="28"/>
      <c r="O28" s="28"/>
      <c r="P28" s="28"/>
    </row>
    <row r="29" spans="1:7" s="67" customFormat="1" ht="15">
      <c r="A29" s="187" t="s">
        <v>373</v>
      </c>
      <c r="B29" s="322"/>
      <c r="C29" s="65"/>
      <c r="D29" s="66" t="s">
        <v>374</v>
      </c>
      <c r="E29" s="24"/>
      <c r="G29" s="253"/>
    </row>
    <row r="30" spans="1:7" s="67" customFormat="1" ht="12.75">
      <c r="A30" s="2"/>
      <c r="B30" s="322"/>
      <c r="C30" s="11"/>
      <c r="D30" s="2"/>
      <c r="E30" s="24"/>
      <c r="G30" s="253"/>
    </row>
    <row r="31" spans="1:7" s="67" customFormat="1" ht="14.25">
      <c r="A31" s="2"/>
      <c r="B31" s="322"/>
      <c r="C31" s="68"/>
      <c r="D31" s="69" t="s">
        <v>375</v>
      </c>
      <c r="E31" s="24"/>
      <c r="G31" s="253"/>
    </row>
    <row r="32" spans="1:7" s="67" customFormat="1" ht="12.75">
      <c r="A32" s="2"/>
      <c r="B32" s="322"/>
      <c r="C32" s="11"/>
      <c r="D32" s="2"/>
      <c r="E32" s="70" t="s">
        <v>376</v>
      </c>
      <c r="G32" s="253"/>
    </row>
    <row r="33" spans="1:7" s="67" customFormat="1" ht="14.25">
      <c r="A33" s="2"/>
      <c r="B33" s="322"/>
      <c r="C33" s="68"/>
      <c r="D33" s="69" t="s">
        <v>377</v>
      </c>
      <c r="E33" s="24"/>
      <c r="G33" s="253"/>
    </row>
    <row r="34" spans="1:7" s="67" customFormat="1" ht="12.75">
      <c r="A34" s="2"/>
      <c r="B34" s="322"/>
      <c r="C34" s="11"/>
      <c r="D34" s="71" t="s">
        <v>378</v>
      </c>
      <c r="E34" s="24"/>
      <c r="G34" s="253"/>
    </row>
    <row r="35" spans="1:22" s="137" customFormat="1" ht="14.25">
      <c r="A35" s="142"/>
      <c r="B35" s="323"/>
      <c r="C35" s="141"/>
      <c r="D35" s="141"/>
      <c r="E35" s="143"/>
      <c r="F35" s="142"/>
      <c r="G35" s="145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7" ht="15">
      <c r="A36" s="184"/>
      <c r="B36" s="324"/>
      <c r="C36" s="146"/>
      <c r="D36" s="146"/>
      <c r="E36" s="146"/>
      <c r="F36" s="184"/>
      <c r="G36" s="184"/>
    </row>
    <row r="37" spans="1:7" ht="15">
      <c r="A37" s="144"/>
      <c r="B37" s="325"/>
      <c r="C37" s="147"/>
      <c r="D37" s="147"/>
      <c r="E37" s="147"/>
      <c r="F37" s="144"/>
      <c r="G37" s="144"/>
    </row>
    <row r="38" spans="1:7" ht="15">
      <c r="A38" s="144"/>
      <c r="B38" s="325"/>
      <c r="C38" s="147"/>
      <c r="D38" s="147"/>
      <c r="E38" s="147"/>
      <c r="F38" s="144"/>
      <c r="G38" s="144"/>
    </row>
    <row r="39" spans="1:7" ht="15">
      <c r="A39" s="463"/>
      <c r="B39" s="447" t="s">
        <v>560</v>
      </c>
      <c r="C39" s="474" t="s">
        <v>380</v>
      </c>
      <c r="D39" s="474"/>
      <c r="E39" s="474"/>
      <c r="F39" s="474"/>
      <c r="G39" s="474"/>
    </row>
    <row r="40" spans="1:7" ht="15">
      <c r="A40" s="464"/>
      <c r="B40" s="447" t="s">
        <v>561</v>
      </c>
      <c r="C40" s="203" t="s">
        <v>564</v>
      </c>
      <c r="E40" s="141"/>
      <c r="F40" s="445"/>
      <c r="G40" s="141"/>
    </row>
    <row r="41" spans="1:7" ht="30.75" customHeight="1">
      <c r="A41" s="463"/>
      <c r="B41" s="448" t="s">
        <v>558</v>
      </c>
      <c r="C41" s="479"/>
      <c r="D41" s="479"/>
      <c r="E41" s="479"/>
      <c r="F41" s="479"/>
      <c r="G41" s="479"/>
    </row>
    <row r="42" spans="1:7" ht="18" customHeight="1">
      <c r="A42" s="471" t="s">
        <v>559</v>
      </c>
      <c r="B42" s="471"/>
      <c r="C42" s="474"/>
      <c r="D42" s="474"/>
      <c r="E42" s="474"/>
      <c r="F42" s="474"/>
      <c r="G42" s="474"/>
    </row>
    <row r="43" spans="1:9" s="137" customFormat="1" ht="15" customHeight="1">
      <c r="A43" s="183"/>
      <c r="B43" s="465" t="s">
        <v>18</v>
      </c>
      <c r="C43" s="35" t="s">
        <v>540</v>
      </c>
      <c r="D43" s="35"/>
      <c r="E43" s="35"/>
      <c r="F43" s="211"/>
      <c r="G43" s="211"/>
      <c r="H43" s="35"/>
      <c r="I43" s="35"/>
    </row>
    <row r="44" spans="1:8" s="137" customFormat="1" ht="15">
      <c r="A44" s="183"/>
      <c r="B44" s="466" t="s">
        <v>440</v>
      </c>
      <c r="C44" s="168" t="s">
        <v>447</v>
      </c>
      <c r="D44" s="166"/>
      <c r="E44" s="138"/>
      <c r="F44" s="138"/>
      <c r="G44" s="138"/>
      <c r="H44" s="138"/>
    </row>
    <row r="45" spans="1:8" s="137" customFormat="1" ht="15">
      <c r="A45" s="139"/>
      <c r="B45" s="318"/>
      <c r="C45" s="518"/>
      <c r="D45" s="518"/>
      <c r="E45" s="518"/>
      <c r="F45" s="518"/>
      <c r="G45" s="518"/>
      <c r="H45" s="518"/>
    </row>
    <row r="46" spans="1:7" s="213" customFormat="1" ht="20.25">
      <c r="A46" s="516" t="s">
        <v>513</v>
      </c>
      <c r="B46" s="516"/>
      <c r="C46" s="516"/>
      <c r="D46" s="516"/>
      <c r="E46" s="516"/>
      <c r="F46" s="169" t="s">
        <v>541</v>
      </c>
      <c r="G46" s="163"/>
    </row>
    <row r="47" spans="1:8" s="29" customFormat="1" ht="15.75" customHeight="1" thickBot="1">
      <c r="A47" s="488"/>
      <c r="B47" s="488"/>
      <c r="C47" s="488"/>
      <c r="D47" s="488"/>
      <c r="E47" s="488"/>
      <c r="F47" s="118"/>
      <c r="G47" s="252" t="s">
        <v>367</v>
      </c>
      <c r="H47" s="26"/>
    </row>
    <row r="48" spans="1:8" s="29" customFormat="1" ht="15.75" customHeight="1" thickBot="1">
      <c r="A48" s="493" t="s">
        <v>372</v>
      </c>
      <c r="B48" s="503" t="s">
        <v>363</v>
      </c>
      <c r="C48" s="490" t="s">
        <v>369</v>
      </c>
      <c r="D48" s="493" t="s">
        <v>189</v>
      </c>
      <c r="E48" s="493" t="s">
        <v>366</v>
      </c>
      <c r="F48" s="511" t="s">
        <v>203</v>
      </c>
      <c r="G48" s="511" t="s">
        <v>368</v>
      </c>
      <c r="H48" s="40"/>
    </row>
    <row r="49" spans="1:8" s="29" customFormat="1" ht="29.25" customHeight="1" thickBot="1">
      <c r="A49" s="494"/>
      <c r="B49" s="503"/>
      <c r="C49" s="490"/>
      <c r="D49" s="494"/>
      <c r="E49" s="494"/>
      <c r="F49" s="512"/>
      <c r="G49" s="512"/>
      <c r="H49" s="140"/>
    </row>
    <row r="50" spans="1:8" s="29" customFormat="1" ht="15" thickBot="1">
      <c r="A50" s="41">
        <v>1</v>
      </c>
      <c r="B50" s="319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  <c r="H50" s="42"/>
    </row>
    <row r="51" spans="1:8" ht="137.25">
      <c r="A51" s="154">
        <v>1</v>
      </c>
      <c r="B51" s="387"/>
      <c r="C51" s="155" t="s">
        <v>538</v>
      </c>
      <c r="D51" s="156" t="s">
        <v>191</v>
      </c>
      <c r="E51" s="157">
        <v>1</v>
      </c>
      <c r="F51" s="374"/>
      <c r="G51" s="158">
        <f>E51*F51</f>
        <v>0</v>
      </c>
      <c r="H51" s="152"/>
    </row>
    <row r="52" spans="2:8" s="29" customFormat="1" ht="15">
      <c r="B52" s="320"/>
      <c r="E52" s="57"/>
      <c r="F52" s="58" t="s">
        <v>364</v>
      </c>
      <c r="G52" s="59">
        <f>G51</f>
        <v>0</v>
      </c>
      <c r="H52" s="7"/>
    </row>
    <row r="53" spans="2:8" s="29" customFormat="1" ht="15">
      <c r="B53" s="320"/>
      <c r="E53" s="484" t="s">
        <v>206</v>
      </c>
      <c r="F53" s="484"/>
      <c r="G53" s="59">
        <f>G52*0.2</f>
        <v>0</v>
      </c>
      <c r="H53" s="7"/>
    </row>
    <row r="54" spans="2:8" s="29" customFormat="1" ht="15">
      <c r="B54" s="320"/>
      <c r="C54" s="26"/>
      <c r="E54" s="57"/>
      <c r="F54" s="60" t="s">
        <v>365</v>
      </c>
      <c r="G54" s="59">
        <f>G52+G53</f>
        <v>0</v>
      </c>
      <c r="H54" s="7"/>
    </row>
    <row r="55" spans="2:16" s="29" customFormat="1" ht="14.25">
      <c r="B55" s="320"/>
      <c r="C55" s="61"/>
      <c r="D55" s="62"/>
      <c r="E55" s="62"/>
      <c r="H55" s="7"/>
      <c r="O55" s="3"/>
      <c r="P55" s="6"/>
    </row>
    <row r="56" spans="2:16" s="29" customFormat="1" ht="18.75">
      <c r="B56" s="321" t="s">
        <v>370</v>
      </c>
      <c r="C56" s="64" t="s">
        <v>371</v>
      </c>
      <c r="D56" s="62"/>
      <c r="E56" s="62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9" customFormat="1" ht="14.25">
      <c r="B57" s="320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9" customFormat="1" ht="15" customHeight="1">
      <c r="B58" s="320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9" customFormat="1" ht="14.25">
      <c r="B59" s="320"/>
      <c r="H59" s="28"/>
      <c r="I59" s="28"/>
      <c r="J59" s="28"/>
      <c r="K59" s="28"/>
      <c r="L59" s="28"/>
      <c r="M59" s="28"/>
      <c r="N59" s="28"/>
      <c r="O59" s="28"/>
      <c r="P59" s="28"/>
    </row>
    <row r="60" spans="1:7" s="67" customFormat="1" ht="15">
      <c r="A60" s="187" t="s">
        <v>373</v>
      </c>
      <c r="B60" s="322"/>
      <c r="C60" s="65"/>
      <c r="D60" s="66" t="s">
        <v>374</v>
      </c>
      <c r="E60" s="24"/>
      <c r="G60" s="253"/>
    </row>
    <row r="61" spans="1:7" s="67" customFormat="1" ht="12.75">
      <c r="A61" s="2"/>
      <c r="B61" s="322"/>
      <c r="C61" s="11"/>
      <c r="D61" s="2"/>
      <c r="E61" s="24"/>
      <c r="G61" s="253"/>
    </row>
    <row r="62" spans="1:7" s="67" customFormat="1" ht="14.25">
      <c r="A62" s="2"/>
      <c r="B62" s="322"/>
      <c r="C62" s="68"/>
      <c r="D62" s="69" t="s">
        <v>375</v>
      </c>
      <c r="E62" s="24"/>
      <c r="G62" s="253"/>
    </row>
    <row r="63" spans="1:7" s="67" customFormat="1" ht="12.75">
      <c r="A63" s="2"/>
      <c r="B63" s="322"/>
      <c r="C63" s="11"/>
      <c r="D63" s="2"/>
      <c r="E63" s="70" t="s">
        <v>376</v>
      </c>
      <c r="G63" s="253"/>
    </row>
    <row r="64" spans="1:7" s="67" customFormat="1" ht="14.25">
      <c r="A64" s="2"/>
      <c r="B64" s="322"/>
      <c r="C64" s="68"/>
      <c r="D64" s="69" t="s">
        <v>377</v>
      </c>
      <c r="E64" s="24"/>
      <c r="G64" s="253"/>
    </row>
    <row r="65" spans="1:7" s="67" customFormat="1" ht="12.75">
      <c r="A65" s="2"/>
      <c r="B65" s="322"/>
      <c r="C65" s="11"/>
      <c r="D65" s="71" t="s">
        <v>378</v>
      </c>
      <c r="E65" s="24"/>
      <c r="G65" s="253"/>
    </row>
    <row r="66" spans="1:7" ht="15">
      <c r="A66" s="144"/>
      <c r="B66" s="325"/>
      <c r="C66" s="147"/>
      <c r="D66" s="147"/>
      <c r="E66" s="147"/>
      <c r="F66" s="144"/>
      <c r="G66" s="144"/>
    </row>
    <row r="67" spans="1:7" ht="15">
      <c r="A67" s="144"/>
      <c r="B67" s="325"/>
      <c r="C67" s="147"/>
      <c r="D67" s="147"/>
      <c r="E67" s="147"/>
      <c r="F67" s="144"/>
      <c r="G67" s="144"/>
    </row>
    <row r="68" spans="1:7" ht="15">
      <c r="A68" s="144"/>
      <c r="B68" s="325"/>
      <c r="C68" s="147"/>
      <c r="D68" s="147"/>
      <c r="E68" s="147"/>
      <c r="F68" s="144"/>
      <c r="G68" s="144"/>
    </row>
    <row r="69" spans="1:7" ht="14.25">
      <c r="A69" s="148"/>
      <c r="B69" s="326"/>
      <c r="C69" s="148"/>
      <c r="D69" s="148"/>
      <c r="E69" s="148"/>
      <c r="F69" s="148"/>
      <c r="G69" s="148"/>
    </row>
    <row r="70" spans="1:7" ht="14.25">
      <c r="A70" s="34"/>
      <c r="B70" s="327"/>
      <c r="C70" s="149"/>
      <c r="D70" s="149"/>
      <c r="E70" s="150"/>
      <c r="F70" s="151"/>
      <c r="G70" s="151"/>
    </row>
    <row r="71" spans="1:7" ht="14.25">
      <c r="A71" s="34"/>
      <c r="B71" s="327"/>
      <c r="C71" s="149"/>
      <c r="D71" s="149"/>
      <c r="E71" s="150"/>
      <c r="F71" s="151"/>
      <c r="G71" s="151"/>
    </row>
    <row r="72" spans="1:7" ht="14.25">
      <c r="A72" s="34"/>
      <c r="B72" s="327"/>
      <c r="C72" s="149"/>
      <c r="D72" s="149"/>
      <c r="E72" s="150"/>
      <c r="F72" s="151"/>
      <c r="G72" s="151"/>
    </row>
    <row r="73" spans="1:7" ht="15">
      <c r="A73" s="463"/>
      <c r="B73" s="447" t="s">
        <v>560</v>
      </c>
      <c r="C73" s="474" t="s">
        <v>380</v>
      </c>
      <c r="D73" s="474"/>
      <c r="E73" s="474"/>
      <c r="F73" s="474"/>
      <c r="G73" s="474"/>
    </row>
    <row r="74" spans="1:7" ht="15">
      <c r="A74" s="464"/>
      <c r="B74" s="447" t="s">
        <v>561</v>
      </c>
      <c r="C74" s="203" t="s">
        <v>564</v>
      </c>
      <c r="E74" s="141"/>
      <c r="F74" s="445"/>
      <c r="G74" s="141"/>
    </row>
    <row r="75" spans="1:7" ht="30.75" customHeight="1">
      <c r="A75" s="463"/>
      <c r="B75" s="448" t="s">
        <v>558</v>
      </c>
      <c r="C75" s="479"/>
      <c r="D75" s="479"/>
      <c r="E75" s="479"/>
      <c r="F75" s="479"/>
      <c r="G75" s="479"/>
    </row>
    <row r="76" spans="1:7" ht="18" customHeight="1">
      <c r="A76" s="471" t="s">
        <v>559</v>
      </c>
      <c r="B76" s="471"/>
      <c r="C76" s="474"/>
      <c r="D76" s="474"/>
      <c r="E76" s="474"/>
      <c r="F76" s="474"/>
      <c r="G76" s="474"/>
    </row>
    <row r="77" spans="1:9" s="137" customFormat="1" ht="15" customHeight="1">
      <c r="A77" s="183"/>
      <c r="B77" s="465" t="s">
        <v>18</v>
      </c>
      <c r="C77" s="35" t="s">
        <v>540</v>
      </c>
      <c r="D77" s="35"/>
      <c r="E77" s="35"/>
      <c r="F77" s="211"/>
      <c r="G77" s="211"/>
      <c r="H77" s="35"/>
      <c r="I77" s="35"/>
    </row>
    <row r="78" spans="1:8" s="137" customFormat="1" ht="15">
      <c r="A78" s="183"/>
      <c r="B78" s="466" t="s">
        <v>440</v>
      </c>
      <c r="C78" s="168" t="s">
        <v>542</v>
      </c>
      <c r="D78" s="166"/>
      <c r="E78" s="138"/>
      <c r="F78" s="138"/>
      <c r="G78" s="138"/>
      <c r="H78" s="138"/>
    </row>
    <row r="79" spans="1:8" s="137" customFormat="1" ht="15">
      <c r="A79" s="139"/>
      <c r="B79" s="318"/>
      <c r="C79" s="518"/>
      <c r="D79" s="518"/>
      <c r="E79" s="518"/>
      <c r="F79" s="518"/>
      <c r="G79" s="518"/>
      <c r="H79" s="518"/>
    </row>
    <row r="80" spans="1:7" s="213" customFormat="1" ht="20.25">
      <c r="A80" s="516" t="s">
        <v>513</v>
      </c>
      <c r="B80" s="516"/>
      <c r="C80" s="516"/>
      <c r="D80" s="516"/>
      <c r="E80" s="516"/>
      <c r="F80" s="169" t="s">
        <v>543</v>
      </c>
      <c r="G80" s="163"/>
    </row>
    <row r="81" spans="1:8" s="29" customFormat="1" ht="15.75" customHeight="1" thickBot="1">
      <c r="A81" s="488"/>
      <c r="B81" s="488"/>
      <c r="C81" s="488"/>
      <c r="D81" s="488"/>
      <c r="E81" s="488"/>
      <c r="F81" s="118"/>
      <c r="G81" s="252" t="s">
        <v>367</v>
      </c>
      <c r="H81" s="26"/>
    </row>
    <row r="82" spans="1:8" s="29" customFormat="1" ht="15.75" customHeight="1" thickBot="1">
      <c r="A82" s="493" t="s">
        <v>372</v>
      </c>
      <c r="B82" s="503" t="s">
        <v>363</v>
      </c>
      <c r="C82" s="490" t="s">
        <v>369</v>
      </c>
      <c r="D82" s="493" t="s">
        <v>189</v>
      </c>
      <c r="E82" s="493" t="s">
        <v>366</v>
      </c>
      <c r="F82" s="511" t="s">
        <v>203</v>
      </c>
      <c r="G82" s="511" t="s">
        <v>368</v>
      </c>
      <c r="H82" s="40"/>
    </row>
    <row r="83" spans="1:8" s="29" customFormat="1" ht="29.25" customHeight="1" thickBot="1">
      <c r="A83" s="494"/>
      <c r="B83" s="503"/>
      <c r="C83" s="490"/>
      <c r="D83" s="494"/>
      <c r="E83" s="494"/>
      <c r="F83" s="512"/>
      <c r="G83" s="512"/>
      <c r="H83" s="140"/>
    </row>
    <row r="84" spans="1:8" s="29" customFormat="1" ht="15" thickBot="1">
      <c r="A84" s="41">
        <v>1</v>
      </c>
      <c r="B84" s="319">
        <v>2</v>
      </c>
      <c r="C84" s="41">
        <v>3</v>
      </c>
      <c r="D84" s="41">
        <v>4</v>
      </c>
      <c r="E84" s="41">
        <v>5</v>
      </c>
      <c r="F84" s="41">
        <v>6</v>
      </c>
      <c r="G84" s="41">
        <v>7</v>
      </c>
      <c r="H84" s="42"/>
    </row>
    <row r="85" spans="1:8" s="68" customFormat="1" ht="59.25" customHeight="1">
      <c r="A85" s="134">
        <v>1</v>
      </c>
      <c r="B85" s="388"/>
      <c r="C85" s="135" t="s">
        <v>453</v>
      </c>
      <c r="D85" s="136" t="s">
        <v>191</v>
      </c>
      <c r="E85" s="171">
        <v>1</v>
      </c>
      <c r="F85" s="375"/>
      <c r="G85" s="171">
        <f>E85*F85</f>
        <v>0</v>
      </c>
      <c r="H85" s="136"/>
    </row>
    <row r="86" spans="1:8" s="68" customFormat="1" ht="38.25" customHeight="1">
      <c r="A86" s="134">
        <v>2</v>
      </c>
      <c r="B86" s="388"/>
      <c r="C86" s="135" t="s">
        <v>527</v>
      </c>
      <c r="D86" s="136" t="s">
        <v>191</v>
      </c>
      <c r="E86" s="171">
        <v>1</v>
      </c>
      <c r="F86" s="375"/>
      <c r="G86" s="171">
        <f aca="true" t="shared" si="1" ref="G86:G111">E86*F86</f>
        <v>0</v>
      </c>
      <c r="H86" s="136"/>
    </row>
    <row r="87" spans="1:8" s="68" customFormat="1" ht="20.25" customHeight="1">
      <c r="A87" s="134">
        <v>3</v>
      </c>
      <c r="B87" s="388"/>
      <c r="C87" s="135" t="s">
        <v>415</v>
      </c>
      <c r="D87" s="136" t="s">
        <v>191</v>
      </c>
      <c r="E87" s="171">
        <v>1</v>
      </c>
      <c r="F87" s="375"/>
      <c r="G87" s="171">
        <f t="shared" si="1"/>
        <v>0</v>
      </c>
      <c r="H87" s="136"/>
    </row>
    <row r="88" spans="1:8" s="68" customFormat="1" ht="20.25" customHeight="1">
      <c r="A88" s="134">
        <v>4</v>
      </c>
      <c r="B88" s="388"/>
      <c r="C88" s="135" t="s">
        <v>416</v>
      </c>
      <c r="D88" s="136" t="s">
        <v>191</v>
      </c>
      <c r="E88" s="171">
        <v>1</v>
      </c>
      <c r="F88" s="375"/>
      <c r="G88" s="171">
        <f t="shared" si="1"/>
        <v>0</v>
      </c>
      <c r="H88" s="136"/>
    </row>
    <row r="89" spans="1:8" s="68" customFormat="1" ht="20.25" customHeight="1">
      <c r="A89" s="134">
        <v>5</v>
      </c>
      <c r="B89" s="388"/>
      <c r="C89" s="135" t="s">
        <v>417</v>
      </c>
      <c r="D89" s="136" t="s">
        <v>191</v>
      </c>
      <c r="E89" s="171">
        <v>1</v>
      </c>
      <c r="F89" s="375"/>
      <c r="G89" s="171">
        <f t="shared" si="1"/>
        <v>0</v>
      </c>
      <c r="H89" s="136"/>
    </row>
    <row r="90" spans="1:8" s="68" customFormat="1" ht="20.25" customHeight="1">
      <c r="A90" s="134">
        <v>6</v>
      </c>
      <c r="B90" s="388"/>
      <c r="C90" s="135" t="s">
        <v>418</v>
      </c>
      <c r="D90" s="136" t="s">
        <v>191</v>
      </c>
      <c r="E90" s="171">
        <v>1</v>
      </c>
      <c r="F90" s="375"/>
      <c r="G90" s="171">
        <f t="shared" si="1"/>
        <v>0</v>
      </c>
      <c r="H90" s="136"/>
    </row>
    <row r="91" spans="1:8" s="68" customFormat="1" ht="51.75" customHeight="1">
      <c r="A91" s="134">
        <v>7</v>
      </c>
      <c r="B91" s="388"/>
      <c r="C91" s="135" t="s">
        <v>528</v>
      </c>
      <c r="D91" s="136" t="s">
        <v>457</v>
      </c>
      <c r="E91" s="171">
        <v>1</v>
      </c>
      <c r="F91" s="375"/>
      <c r="G91" s="171">
        <f t="shared" si="1"/>
        <v>0</v>
      </c>
      <c r="H91" s="136"/>
    </row>
    <row r="92" spans="1:8" s="68" customFormat="1" ht="20.25" customHeight="1">
      <c r="A92" s="134">
        <v>8</v>
      </c>
      <c r="B92" s="388"/>
      <c r="C92" s="135" t="s">
        <v>419</v>
      </c>
      <c r="D92" s="136" t="s">
        <v>191</v>
      </c>
      <c r="E92" s="171">
        <v>1</v>
      </c>
      <c r="F92" s="375"/>
      <c r="G92" s="171">
        <f t="shared" si="1"/>
        <v>0</v>
      </c>
      <c r="H92" s="136"/>
    </row>
    <row r="93" spans="1:8" s="68" customFormat="1" ht="20.25" customHeight="1">
      <c r="A93" s="134">
        <v>9</v>
      </c>
      <c r="B93" s="388"/>
      <c r="C93" s="135" t="s">
        <v>420</v>
      </c>
      <c r="D93" s="136" t="s">
        <v>421</v>
      </c>
      <c r="E93" s="171">
        <v>282</v>
      </c>
      <c r="F93" s="375"/>
      <c r="G93" s="171">
        <f t="shared" si="1"/>
        <v>0</v>
      </c>
      <c r="H93" s="136"/>
    </row>
    <row r="94" spans="1:8" s="68" customFormat="1" ht="20.25" customHeight="1">
      <c r="A94" s="134">
        <v>10</v>
      </c>
      <c r="B94" s="388"/>
      <c r="C94" s="135" t="s">
        <v>529</v>
      </c>
      <c r="D94" s="136" t="s">
        <v>421</v>
      </c>
      <c r="E94" s="171">
        <v>20</v>
      </c>
      <c r="F94" s="375"/>
      <c r="G94" s="171">
        <f t="shared" si="1"/>
        <v>0</v>
      </c>
      <c r="H94" s="136"/>
    </row>
    <row r="95" spans="1:8" s="68" customFormat="1" ht="20.25" customHeight="1">
      <c r="A95" s="134">
        <v>11</v>
      </c>
      <c r="B95" s="388"/>
      <c r="C95" s="135" t="s">
        <v>422</v>
      </c>
      <c r="D95" s="136" t="s">
        <v>421</v>
      </c>
      <c r="E95" s="171">
        <v>282</v>
      </c>
      <c r="F95" s="375"/>
      <c r="G95" s="171">
        <f t="shared" si="1"/>
        <v>0</v>
      </c>
      <c r="H95" s="136"/>
    </row>
    <row r="96" spans="1:8" s="68" customFormat="1" ht="20.25" customHeight="1">
      <c r="A96" s="134">
        <v>12</v>
      </c>
      <c r="B96" s="388"/>
      <c r="C96" s="135" t="s">
        <v>423</v>
      </c>
      <c r="D96" s="136" t="s">
        <v>421</v>
      </c>
      <c r="E96" s="171">
        <v>282</v>
      </c>
      <c r="F96" s="375"/>
      <c r="G96" s="171">
        <f t="shared" si="1"/>
        <v>0</v>
      </c>
      <c r="H96" s="136"/>
    </row>
    <row r="97" spans="1:8" s="68" customFormat="1" ht="18" customHeight="1">
      <c r="A97" s="134">
        <v>13</v>
      </c>
      <c r="B97" s="388"/>
      <c r="C97" s="135" t="s">
        <v>530</v>
      </c>
      <c r="D97" s="136" t="s">
        <v>421</v>
      </c>
      <c r="E97" s="171">
        <v>540</v>
      </c>
      <c r="F97" s="375"/>
      <c r="G97" s="171">
        <f t="shared" si="1"/>
        <v>0</v>
      </c>
      <c r="H97" s="136"/>
    </row>
    <row r="98" spans="1:8" s="68" customFormat="1" ht="18" customHeight="1">
      <c r="A98" s="134">
        <v>14</v>
      </c>
      <c r="B98" s="388"/>
      <c r="C98" s="135" t="s">
        <v>458</v>
      </c>
      <c r="D98" s="136" t="s">
        <v>425</v>
      </c>
      <c r="E98" s="171">
        <v>11</v>
      </c>
      <c r="F98" s="375"/>
      <c r="G98" s="171">
        <f t="shared" si="1"/>
        <v>0</v>
      </c>
      <c r="H98" s="136"/>
    </row>
    <row r="99" spans="1:8" s="68" customFormat="1" ht="18" customHeight="1">
      <c r="A99" s="134">
        <v>15</v>
      </c>
      <c r="B99" s="388"/>
      <c r="C99" s="135" t="s">
        <v>424</v>
      </c>
      <c r="D99" s="136" t="s">
        <v>425</v>
      </c>
      <c r="E99" s="171">
        <v>3</v>
      </c>
      <c r="F99" s="375"/>
      <c r="G99" s="171">
        <f t="shared" si="1"/>
        <v>0</v>
      </c>
      <c r="H99" s="136"/>
    </row>
    <row r="100" spans="1:8" s="68" customFormat="1" ht="19.5" customHeight="1">
      <c r="A100" s="134">
        <v>16</v>
      </c>
      <c r="B100" s="388"/>
      <c r="C100" s="135" t="s">
        <v>426</v>
      </c>
      <c r="D100" s="136" t="s">
        <v>421</v>
      </c>
      <c r="E100" s="171">
        <v>60</v>
      </c>
      <c r="F100" s="375"/>
      <c r="G100" s="171">
        <f t="shared" si="1"/>
        <v>0</v>
      </c>
      <c r="H100" s="136"/>
    </row>
    <row r="101" spans="1:8" s="68" customFormat="1" ht="19.5" customHeight="1">
      <c r="A101" s="134">
        <v>17</v>
      </c>
      <c r="B101" s="388"/>
      <c r="C101" s="135" t="s">
        <v>434</v>
      </c>
      <c r="D101" s="136" t="s">
        <v>421</v>
      </c>
      <c r="E101" s="171">
        <v>20</v>
      </c>
      <c r="F101" s="375"/>
      <c r="G101" s="171">
        <f t="shared" si="1"/>
        <v>0</v>
      </c>
      <c r="H101" s="136"/>
    </row>
    <row r="102" spans="1:8" s="68" customFormat="1" ht="19.5" customHeight="1">
      <c r="A102" s="134">
        <v>18</v>
      </c>
      <c r="B102" s="388"/>
      <c r="C102" s="135" t="s">
        <v>427</v>
      </c>
      <c r="D102" s="136" t="s">
        <v>421</v>
      </c>
      <c r="E102" s="171">
        <v>20</v>
      </c>
      <c r="F102" s="375"/>
      <c r="G102" s="171">
        <f t="shared" si="1"/>
        <v>0</v>
      </c>
      <c r="H102" s="136"/>
    </row>
    <row r="103" spans="1:8" s="68" customFormat="1" ht="35.25" customHeight="1">
      <c r="A103" s="134">
        <v>19</v>
      </c>
      <c r="B103" s="388"/>
      <c r="C103" s="135" t="s">
        <v>531</v>
      </c>
      <c r="D103" s="136" t="s">
        <v>421</v>
      </c>
      <c r="E103" s="171">
        <v>15</v>
      </c>
      <c r="F103" s="375"/>
      <c r="G103" s="171">
        <f t="shared" si="1"/>
        <v>0</v>
      </c>
      <c r="H103" s="136"/>
    </row>
    <row r="104" spans="1:8" s="68" customFormat="1" ht="21.75" customHeight="1">
      <c r="A104" s="134">
        <v>20</v>
      </c>
      <c r="B104" s="388"/>
      <c r="C104" s="135" t="s">
        <v>435</v>
      </c>
      <c r="D104" s="136" t="s">
        <v>421</v>
      </c>
      <c r="E104" s="171">
        <v>5</v>
      </c>
      <c r="F104" s="375"/>
      <c r="G104" s="171">
        <f t="shared" si="1"/>
        <v>0</v>
      </c>
      <c r="H104" s="136"/>
    </row>
    <row r="105" spans="1:8" s="68" customFormat="1" ht="21.75" customHeight="1">
      <c r="A105" s="134">
        <v>21</v>
      </c>
      <c r="B105" s="388"/>
      <c r="C105" s="135" t="s">
        <v>436</v>
      </c>
      <c r="D105" s="136" t="s">
        <v>421</v>
      </c>
      <c r="E105" s="171">
        <v>6</v>
      </c>
      <c r="F105" s="375"/>
      <c r="G105" s="171">
        <f t="shared" si="1"/>
        <v>0</v>
      </c>
      <c r="H105" s="136"/>
    </row>
    <row r="106" spans="1:8" s="68" customFormat="1" ht="36.75" customHeight="1">
      <c r="A106" s="134">
        <v>22</v>
      </c>
      <c r="B106" s="388"/>
      <c r="C106" s="135" t="s">
        <v>532</v>
      </c>
      <c r="D106" s="136" t="s">
        <v>191</v>
      </c>
      <c r="E106" s="171">
        <v>10</v>
      </c>
      <c r="F106" s="375"/>
      <c r="G106" s="171">
        <f t="shared" si="1"/>
        <v>0</v>
      </c>
      <c r="H106" s="136"/>
    </row>
    <row r="107" spans="1:8" s="68" customFormat="1" ht="22.5" customHeight="1">
      <c r="A107" s="134">
        <v>23</v>
      </c>
      <c r="B107" s="388"/>
      <c r="C107" s="135" t="s">
        <v>428</v>
      </c>
      <c r="D107" s="136" t="s">
        <v>191</v>
      </c>
      <c r="E107" s="171">
        <v>2</v>
      </c>
      <c r="F107" s="375"/>
      <c r="G107" s="171">
        <f t="shared" si="1"/>
        <v>0</v>
      </c>
      <c r="H107" s="136"/>
    </row>
    <row r="108" spans="1:8" s="68" customFormat="1" ht="22.5" customHeight="1">
      <c r="A108" s="134">
        <v>24</v>
      </c>
      <c r="B108" s="388"/>
      <c r="C108" s="135" t="s">
        <v>429</v>
      </c>
      <c r="D108" s="136" t="s">
        <v>421</v>
      </c>
      <c r="E108" s="171">
        <v>30</v>
      </c>
      <c r="F108" s="375"/>
      <c r="G108" s="171">
        <f t="shared" si="1"/>
        <v>0</v>
      </c>
      <c r="H108" s="136"/>
    </row>
    <row r="109" spans="1:8" s="68" customFormat="1" ht="32.25" customHeight="1">
      <c r="A109" s="134">
        <v>25</v>
      </c>
      <c r="B109" s="388"/>
      <c r="C109" s="135" t="s">
        <v>430</v>
      </c>
      <c r="D109" s="136" t="s">
        <v>431</v>
      </c>
      <c r="E109" s="171">
        <v>2</v>
      </c>
      <c r="F109" s="375"/>
      <c r="G109" s="171">
        <f t="shared" si="1"/>
        <v>0</v>
      </c>
      <c r="H109" s="136"/>
    </row>
    <row r="110" spans="1:8" s="68" customFormat="1" ht="21.75" customHeight="1">
      <c r="A110" s="134">
        <v>26</v>
      </c>
      <c r="B110" s="388"/>
      <c r="C110" s="135" t="s">
        <v>432</v>
      </c>
      <c r="D110" s="136" t="s">
        <v>433</v>
      </c>
      <c r="E110" s="171">
        <v>24</v>
      </c>
      <c r="F110" s="375"/>
      <c r="G110" s="171">
        <f t="shared" si="1"/>
        <v>0</v>
      </c>
      <c r="H110" s="136"/>
    </row>
    <row r="111" spans="1:8" ht="138" customHeight="1">
      <c r="A111" s="134">
        <v>27</v>
      </c>
      <c r="B111" s="388"/>
      <c r="C111" s="135" t="s">
        <v>533</v>
      </c>
      <c r="D111" s="136" t="s">
        <v>457</v>
      </c>
      <c r="E111" s="171">
        <v>1</v>
      </c>
      <c r="F111" s="375"/>
      <c r="G111" s="171">
        <f t="shared" si="1"/>
        <v>0</v>
      </c>
      <c r="H111" s="136"/>
    </row>
    <row r="112" spans="2:8" s="29" customFormat="1" ht="15">
      <c r="B112" s="320"/>
      <c r="E112" s="57"/>
      <c r="F112" s="58" t="s">
        <v>364</v>
      </c>
      <c r="G112" s="59">
        <f>SUM(G85:G111)</f>
        <v>0</v>
      </c>
      <c r="H112" s="7"/>
    </row>
    <row r="113" spans="2:8" s="29" customFormat="1" ht="15">
      <c r="B113" s="320"/>
      <c r="E113" s="484" t="s">
        <v>206</v>
      </c>
      <c r="F113" s="484"/>
      <c r="G113" s="59">
        <f>G112*0.2</f>
        <v>0</v>
      </c>
      <c r="H113" s="7"/>
    </row>
    <row r="114" spans="2:8" s="29" customFormat="1" ht="15">
      <c r="B114" s="320"/>
      <c r="C114" s="26"/>
      <c r="E114" s="57"/>
      <c r="F114" s="60" t="s">
        <v>365</v>
      </c>
      <c r="G114" s="59">
        <f>G112+G113</f>
        <v>0</v>
      </c>
      <c r="H114" s="7"/>
    </row>
    <row r="115" spans="2:16" s="29" customFormat="1" ht="14.25">
      <c r="B115" s="320"/>
      <c r="C115" s="61"/>
      <c r="D115" s="62"/>
      <c r="E115" s="62"/>
      <c r="H115" s="7"/>
      <c r="O115" s="3"/>
      <c r="P115" s="6"/>
    </row>
    <row r="116" spans="2:16" s="29" customFormat="1" ht="18.75">
      <c r="B116" s="321" t="s">
        <v>370</v>
      </c>
      <c r="C116" s="64" t="s">
        <v>371</v>
      </c>
      <c r="D116" s="62"/>
      <c r="E116" s="62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2:16" s="29" customFormat="1" ht="14.25">
      <c r="B117" s="320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2:16" s="29" customFormat="1" ht="15" customHeight="1">
      <c r="B118" s="320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2:16" s="29" customFormat="1" ht="14.25">
      <c r="B119" s="320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7" s="67" customFormat="1" ht="15">
      <c r="A120" s="187" t="s">
        <v>373</v>
      </c>
      <c r="B120" s="322"/>
      <c r="C120" s="65"/>
      <c r="D120" s="66" t="s">
        <v>374</v>
      </c>
      <c r="E120" s="24"/>
      <c r="G120" s="253"/>
    </row>
    <row r="121" spans="1:7" s="67" customFormat="1" ht="12.75">
      <c r="A121" s="2"/>
      <c r="B121" s="322"/>
      <c r="C121" s="11"/>
      <c r="D121" s="2"/>
      <c r="E121" s="24"/>
      <c r="G121" s="253"/>
    </row>
    <row r="122" spans="1:7" s="67" customFormat="1" ht="14.25">
      <c r="A122" s="2"/>
      <c r="B122" s="322"/>
      <c r="C122" s="68"/>
      <c r="D122" s="69" t="s">
        <v>375</v>
      </c>
      <c r="E122" s="24"/>
      <c r="G122" s="253"/>
    </row>
    <row r="123" spans="1:7" s="67" customFormat="1" ht="12.75">
      <c r="A123" s="2"/>
      <c r="B123" s="322"/>
      <c r="C123" s="11"/>
      <c r="D123" s="2"/>
      <c r="E123" s="70" t="s">
        <v>376</v>
      </c>
      <c r="G123" s="253"/>
    </row>
    <row r="124" spans="1:7" s="67" customFormat="1" ht="14.25">
      <c r="A124" s="2"/>
      <c r="B124" s="322"/>
      <c r="C124" s="68"/>
      <c r="D124" s="69" t="s">
        <v>377</v>
      </c>
      <c r="E124" s="24"/>
      <c r="G124" s="253"/>
    </row>
    <row r="125" spans="1:7" s="67" customFormat="1" ht="12.75">
      <c r="A125" s="2"/>
      <c r="B125" s="322"/>
      <c r="C125" s="11"/>
      <c r="D125" s="71" t="s">
        <v>378</v>
      </c>
      <c r="E125" s="24"/>
      <c r="G125" s="253"/>
    </row>
    <row r="126" spans="1:7" s="67" customFormat="1" ht="12.75">
      <c r="A126" s="2"/>
      <c r="B126" s="322"/>
      <c r="C126" s="11"/>
      <c r="D126" s="71"/>
      <c r="E126" s="24"/>
      <c r="G126" s="253"/>
    </row>
    <row r="127" spans="1:7" ht="15">
      <c r="A127" s="463"/>
      <c r="B127" s="447" t="s">
        <v>560</v>
      </c>
      <c r="C127" s="474" t="s">
        <v>380</v>
      </c>
      <c r="D127" s="474"/>
      <c r="E127" s="474"/>
      <c r="F127" s="474"/>
      <c r="G127" s="474"/>
    </row>
    <row r="128" spans="1:7" ht="15">
      <c r="A128" s="464"/>
      <c r="B128" s="447" t="s">
        <v>561</v>
      </c>
      <c r="C128" s="203" t="s">
        <v>564</v>
      </c>
      <c r="E128" s="141"/>
      <c r="F128" s="445"/>
      <c r="G128" s="141"/>
    </row>
    <row r="129" spans="1:7" ht="30.75" customHeight="1">
      <c r="A129" s="463"/>
      <c r="B129" s="448" t="s">
        <v>558</v>
      </c>
      <c r="C129" s="479"/>
      <c r="D129" s="479"/>
      <c r="E129" s="479"/>
      <c r="F129" s="479"/>
      <c r="G129" s="479"/>
    </row>
    <row r="130" spans="1:7" ht="18" customHeight="1">
      <c r="A130" s="471" t="s">
        <v>559</v>
      </c>
      <c r="B130" s="471"/>
      <c r="C130" s="474"/>
      <c r="D130" s="474"/>
      <c r="E130" s="474"/>
      <c r="F130" s="474"/>
      <c r="G130" s="474"/>
    </row>
    <row r="131" spans="1:9" s="137" customFormat="1" ht="15" customHeight="1">
      <c r="A131" s="183"/>
      <c r="B131" s="465" t="s">
        <v>18</v>
      </c>
      <c r="C131" s="35" t="s">
        <v>540</v>
      </c>
      <c r="D131" s="35"/>
      <c r="E131" s="35"/>
      <c r="F131" s="211"/>
      <c r="G131" s="211"/>
      <c r="H131" s="35"/>
      <c r="I131" s="35"/>
    </row>
    <row r="132" spans="1:8" s="137" customFormat="1" ht="15">
      <c r="A132" s="183"/>
      <c r="B132" s="466" t="s">
        <v>440</v>
      </c>
      <c r="C132" s="168" t="s">
        <v>545</v>
      </c>
      <c r="D132" s="166"/>
      <c r="E132" s="138"/>
      <c r="F132" s="138"/>
      <c r="G132" s="138"/>
      <c r="H132" s="138"/>
    </row>
    <row r="133" spans="1:8" s="137" customFormat="1" ht="15">
      <c r="A133" s="139"/>
      <c r="B133" s="318"/>
      <c r="C133" s="518"/>
      <c r="D133" s="518"/>
      <c r="E133" s="518"/>
      <c r="F133" s="518"/>
      <c r="G133" s="518"/>
      <c r="H133" s="518"/>
    </row>
    <row r="134" spans="1:7" s="213" customFormat="1" ht="20.25">
      <c r="A134" s="516" t="s">
        <v>513</v>
      </c>
      <c r="B134" s="516"/>
      <c r="C134" s="516"/>
      <c r="D134" s="516"/>
      <c r="E134" s="516"/>
      <c r="F134" s="169" t="s">
        <v>544</v>
      </c>
      <c r="G134" s="163"/>
    </row>
    <row r="135" spans="1:8" s="29" customFormat="1" ht="15.75" customHeight="1" thickBot="1">
      <c r="A135" s="488"/>
      <c r="B135" s="488"/>
      <c r="C135" s="488"/>
      <c r="D135" s="488"/>
      <c r="E135" s="488"/>
      <c r="F135" s="118"/>
      <c r="G135" s="252" t="s">
        <v>367</v>
      </c>
      <c r="H135" s="26"/>
    </row>
    <row r="136" spans="1:8" s="29" customFormat="1" ht="15.75" customHeight="1" thickBot="1">
      <c r="A136" s="493" t="s">
        <v>372</v>
      </c>
      <c r="B136" s="503" t="s">
        <v>363</v>
      </c>
      <c r="C136" s="490" t="s">
        <v>369</v>
      </c>
      <c r="D136" s="493" t="s">
        <v>189</v>
      </c>
      <c r="E136" s="493" t="s">
        <v>366</v>
      </c>
      <c r="F136" s="511" t="s">
        <v>203</v>
      </c>
      <c r="G136" s="511" t="s">
        <v>368</v>
      </c>
      <c r="H136" s="40"/>
    </row>
    <row r="137" spans="1:8" s="29" customFormat="1" ht="29.25" customHeight="1" thickBot="1">
      <c r="A137" s="494"/>
      <c r="B137" s="503"/>
      <c r="C137" s="490"/>
      <c r="D137" s="494"/>
      <c r="E137" s="494"/>
      <c r="F137" s="512"/>
      <c r="G137" s="512"/>
      <c r="H137" s="140"/>
    </row>
    <row r="138" spans="1:8" s="29" customFormat="1" ht="15" thickBot="1">
      <c r="A138" s="41">
        <v>1</v>
      </c>
      <c r="B138" s="319">
        <v>2</v>
      </c>
      <c r="C138" s="41">
        <v>3</v>
      </c>
      <c r="D138" s="41">
        <v>4</v>
      </c>
      <c r="E138" s="41">
        <v>5</v>
      </c>
      <c r="F138" s="41">
        <v>6</v>
      </c>
      <c r="G138" s="41">
        <v>7</v>
      </c>
      <c r="H138" s="42"/>
    </row>
    <row r="139" spans="1:7" s="62" customFormat="1" ht="15">
      <c r="A139" s="301" t="s">
        <v>396</v>
      </c>
      <c r="B139" s="328"/>
      <c r="C139" s="310" t="s">
        <v>461</v>
      </c>
      <c r="D139" s="311"/>
      <c r="E139" s="312"/>
      <c r="F139" s="313"/>
      <c r="G139" s="314"/>
    </row>
    <row r="140" spans="1:7" s="62" customFormat="1" ht="28.5">
      <c r="A140" s="216">
        <v>1</v>
      </c>
      <c r="B140" s="389"/>
      <c r="C140" s="308" t="s">
        <v>462</v>
      </c>
      <c r="D140" s="87" t="s">
        <v>463</v>
      </c>
      <c r="E140" s="309">
        <v>47</v>
      </c>
      <c r="F140" s="390"/>
      <c r="G140" s="104">
        <f>E140*F140</f>
        <v>0</v>
      </c>
    </row>
    <row r="141" spans="1:7" s="62" customFormat="1" ht="16.5">
      <c r="A141" s="216">
        <v>2</v>
      </c>
      <c r="B141" s="389"/>
      <c r="C141" s="298" t="s">
        <v>464</v>
      </c>
      <c r="D141" s="86" t="s">
        <v>463</v>
      </c>
      <c r="E141" s="299">
        <v>47</v>
      </c>
      <c r="F141" s="360"/>
      <c r="G141" s="104">
        <f>E141*F141</f>
        <v>0</v>
      </c>
    </row>
    <row r="142" spans="1:7" s="62" customFormat="1" ht="15">
      <c r="A142" s="218" t="s">
        <v>397</v>
      </c>
      <c r="B142" s="329"/>
      <c r="C142" s="305" t="s">
        <v>465</v>
      </c>
      <c r="D142" s="306"/>
      <c r="E142" s="307"/>
      <c r="F142" s="341"/>
      <c r="G142" s="342"/>
    </row>
    <row r="143" spans="1:7" s="62" customFormat="1" ht="17.25">
      <c r="A143" s="218">
        <v>1</v>
      </c>
      <c r="B143" s="330"/>
      <c r="C143" s="300" t="s">
        <v>466</v>
      </c>
      <c r="D143" s="301" t="s">
        <v>467</v>
      </c>
      <c r="E143" s="302">
        <v>82</v>
      </c>
      <c r="F143" s="303"/>
      <c r="G143" s="304"/>
    </row>
    <row r="144" spans="1:7" s="62" customFormat="1" ht="28.5">
      <c r="A144" s="315" t="s">
        <v>550</v>
      </c>
      <c r="B144" s="389"/>
      <c r="C144" s="221" t="s">
        <v>468</v>
      </c>
      <c r="D144" s="216" t="s">
        <v>469</v>
      </c>
      <c r="E144" s="222">
        <f>0.5*E143</f>
        <v>41</v>
      </c>
      <c r="F144" s="390"/>
      <c r="G144" s="104">
        <f>E144*F144</f>
        <v>0</v>
      </c>
    </row>
    <row r="145" spans="1:7" s="68" customFormat="1" ht="16.5">
      <c r="A145" s="316" t="s">
        <v>551</v>
      </c>
      <c r="B145" s="389"/>
      <c r="C145" s="197" t="s">
        <v>470</v>
      </c>
      <c r="D145" s="192" t="s">
        <v>469</v>
      </c>
      <c r="E145" s="198">
        <f>E143*0.04</f>
        <v>3.2800000000000002</v>
      </c>
      <c r="F145" s="377"/>
      <c r="G145" s="104">
        <f>E145*F145</f>
        <v>0</v>
      </c>
    </row>
    <row r="146" spans="1:7" s="68" customFormat="1" ht="16.5">
      <c r="A146" s="316" t="s">
        <v>552</v>
      </c>
      <c r="B146" s="389"/>
      <c r="C146" s="197" t="s">
        <v>471</v>
      </c>
      <c r="D146" s="199" t="s">
        <v>472</v>
      </c>
      <c r="E146" s="198">
        <f>E143</f>
        <v>82</v>
      </c>
      <c r="F146" s="360"/>
      <c r="G146" s="104">
        <f>E146*F146</f>
        <v>0</v>
      </c>
    </row>
    <row r="147" spans="1:7" s="68" customFormat="1" ht="15">
      <c r="A147" s="194">
        <v>2</v>
      </c>
      <c r="B147" s="331"/>
      <c r="C147" s="195" t="s">
        <v>473</v>
      </c>
      <c r="D147" s="196" t="s">
        <v>421</v>
      </c>
      <c r="E147" s="295">
        <v>43</v>
      </c>
      <c r="F147" s="296"/>
      <c r="G147" s="297"/>
    </row>
    <row r="148" spans="1:7" s="68" customFormat="1" ht="16.5">
      <c r="A148" s="316" t="s">
        <v>553</v>
      </c>
      <c r="B148" s="389"/>
      <c r="C148" s="197" t="s">
        <v>474</v>
      </c>
      <c r="D148" s="192" t="s">
        <v>469</v>
      </c>
      <c r="E148" s="193">
        <f>E147*0.1</f>
        <v>4.3</v>
      </c>
      <c r="F148" s="390"/>
      <c r="G148" s="104">
        <f>E148*F148</f>
        <v>0</v>
      </c>
    </row>
    <row r="149" spans="1:7" s="68" customFormat="1" ht="14.25">
      <c r="A149" s="316">
        <v>2.2</v>
      </c>
      <c r="B149" s="389"/>
      <c r="C149" s="197" t="s">
        <v>534</v>
      </c>
      <c r="D149" s="192" t="s">
        <v>421</v>
      </c>
      <c r="E149" s="193">
        <f>E147</f>
        <v>43</v>
      </c>
      <c r="F149" s="377"/>
      <c r="G149" s="104">
        <f>E149*F149</f>
        <v>0</v>
      </c>
    </row>
    <row r="150" spans="2:8" s="29" customFormat="1" ht="15">
      <c r="B150" s="320"/>
      <c r="E150" s="57"/>
      <c r="F150" s="58" t="s">
        <v>364</v>
      </c>
      <c r="G150" s="59">
        <f>SUM(G140:G149)</f>
        <v>0</v>
      </c>
      <c r="H150" s="7"/>
    </row>
    <row r="151" spans="2:8" s="29" customFormat="1" ht="15">
      <c r="B151" s="320"/>
      <c r="E151" s="484" t="s">
        <v>206</v>
      </c>
      <c r="F151" s="484"/>
      <c r="G151" s="59">
        <f>G150*0.2</f>
        <v>0</v>
      </c>
      <c r="H151" s="7"/>
    </row>
    <row r="152" spans="2:8" s="29" customFormat="1" ht="15">
      <c r="B152" s="320"/>
      <c r="C152" s="26"/>
      <c r="E152" s="57"/>
      <c r="F152" s="60" t="s">
        <v>365</v>
      </c>
      <c r="G152" s="59">
        <f>G150+G151</f>
        <v>0</v>
      </c>
      <c r="H152" s="7"/>
    </row>
    <row r="153" spans="2:16" s="29" customFormat="1" ht="14.25">
      <c r="B153" s="320"/>
      <c r="C153" s="61"/>
      <c r="D153" s="62"/>
      <c r="E153" s="62"/>
      <c r="H153" s="7"/>
      <c r="O153" s="3"/>
      <c r="P153" s="6"/>
    </row>
    <row r="154" spans="2:16" s="29" customFormat="1" ht="18.75">
      <c r="B154" s="321" t="s">
        <v>370</v>
      </c>
      <c r="C154" s="64" t="s">
        <v>371</v>
      </c>
      <c r="D154" s="62"/>
      <c r="E154" s="62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2:16" s="29" customFormat="1" ht="14.25">
      <c r="B155" s="320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2:16" s="29" customFormat="1" ht="15" customHeight="1">
      <c r="B156" s="320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2:16" s="29" customFormat="1" ht="14.25">
      <c r="B157" s="320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7" s="67" customFormat="1" ht="15">
      <c r="A158" s="187" t="s">
        <v>373</v>
      </c>
      <c r="B158" s="322"/>
      <c r="C158" s="65"/>
      <c r="D158" s="66" t="s">
        <v>374</v>
      </c>
      <c r="E158" s="24"/>
      <c r="G158" s="253"/>
    </row>
    <row r="159" spans="1:7" s="67" customFormat="1" ht="12.75">
      <c r="A159" s="2"/>
      <c r="B159" s="322"/>
      <c r="C159" s="11"/>
      <c r="D159" s="2"/>
      <c r="E159" s="24"/>
      <c r="G159" s="253"/>
    </row>
    <row r="160" spans="1:7" s="67" customFormat="1" ht="14.25">
      <c r="A160" s="2"/>
      <c r="B160" s="322"/>
      <c r="C160" s="68"/>
      <c r="D160" s="69" t="s">
        <v>375</v>
      </c>
      <c r="E160" s="24"/>
      <c r="G160" s="253"/>
    </row>
    <row r="161" spans="1:7" s="67" customFormat="1" ht="12.75">
      <c r="A161" s="2"/>
      <c r="B161" s="322"/>
      <c r="C161" s="11"/>
      <c r="D161" s="2"/>
      <c r="E161" s="70" t="s">
        <v>376</v>
      </c>
      <c r="G161" s="253"/>
    </row>
    <row r="162" spans="1:7" s="67" customFormat="1" ht="14.25">
      <c r="A162" s="2"/>
      <c r="B162" s="322"/>
      <c r="C162" s="68"/>
      <c r="D162" s="69" t="s">
        <v>377</v>
      </c>
      <c r="E162" s="24"/>
      <c r="G162" s="253"/>
    </row>
    <row r="163" spans="1:7" s="67" customFormat="1" ht="12.75">
      <c r="A163" s="2"/>
      <c r="B163" s="322"/>
      <c r="C163" s="11"/>
      <c r="D163" s="71" t="s">
        <v>378</v>
      </c>
      <c r="E163" s="24"/>
      <c r="G163" s="253"/>
    </row>
    <row r="166" spans="1:7" ht="15">
      <c r="A166" s="463"/>
      <c r="B166" s="447" t="s">
        <v>560</v>
      </c>
      <c r="C166" s="474" t="s">
        <v>380</v>
      </c>
      <c r="D166" s="474"/>
      <c r="E166" s="474"/>
      <c r="F166" s="474"/>
      <c r="G166" s="474"/>
    </row>
    <row r="167" spans="1:7" ht="15">
      <c r="A167" s="464"/>
      <c r="B167" s="447" t="s">
        <v>561</v>
      </c>
      <c r="C167" s="203" t="s">
        <v>564</v>
      </c>
      <c r="E167" s="141"/>
      <c r="F167" s="445"/>
      <c r="G167" s="141"/>
    </row>
    <row r="168" spans="1:7" ht="30.75" customHeight="1">
      <c r="A168" s="463"/>
      <c r="B168" s="448" t="s">
        <v>558</v>
      </c>
      <c r="C168" s="479"/>
      <c r="D168" s="479"/>
      <c r="E168" s="479"/>
      <c r="F168" s="479"/>
      <c r="G168" s="479"/>
    </row>
    <row r="169" spans="1:7" ht="18" customHeight="1">
      <c r="A169" s="471" t="s">
        <v>559</v>
      </c>
      <c r="B169" s="471"/>
      <c r="C169" s="474"/>
      <c r="D169" s="474"/>
      <c r="E169" s="474"/>
      <c r="F169" s="474"/>
      <c r="G169" s="474"/>
    </row>
    <row r="170" spans="1:9" s="137" customFormat="1" ht="15" customHeight="1">
      <c r="A170" s="183"/>
      <c r="B170" s="465" t="s">
        <v>18</v>
      </c>
      <c r="C170" s="35" t="s">
        <v>540</v>
      </c>
      <c r="D170" s="35"/>
      <c r="E170" s="35"/>
      <c r="F170" s="211"/>
      <c r="G170" s="211"/>
      <c r="H170" s="35"/>
      <c r="I170" s="35"/>
    </row>
    <row r="171" spans="1:8" s="137" customFormat="1" ht="15">
      <c r="A171" s="183"/>
      <c r="B171" s="466" t="s">
        <v>440</v>
      </c>
      <c r="C171" s="168" t="s">
        <v>546</v>
      </c>
      <c r="D171" s="166"/>
      <c r="E171" s="138"/>
      <c r="F171" s="138"/>
      <c r="G171" s="138"/>
      <c r="H171" s="138"/>
    </row>
    <row r="172" spans="1:8" s="137" customFormat="1" ht="15">
      <c r="A172" s="139"/>
      <c r="B172" s="318"/>
      <c r="C172" s="518"/>
      <c r="D172" s="518"/>
      <c r="E172" s="518"/>
      <c r="F172" s="518"/>
      <c r="G172" s="518"/>
      <c r="H172" s="518"/>
    </row>
    <row r="173" spans="1:7" s="213" customFormat="1" ht="20.25">
      <c r="A173" s="516" t="s">
        <v>513</v>
      </c>
      <c r="B173" s="516"/>
      <c r="C173" s="516"/>
      <c r="D173" s="516"/>
      <c r="E173" s="516"/>
      <c r="F173" s="169" t="s">
        <v>547</v>
      </c>
      <c r="G173" s="163"/>
    </row>
    <row r="174" spans="1:8" s="29" customFormat="1" ht="15.75" customHeight="1" thickBot="1">
      <c r="A174" s="488"/>
      <c r="B174" s="488"/>
      <c r="C174" s="488"/>
      <c r="D174" s="488"/>
      <c r="E174" s="488"/>
      <c r="F174" s="118"/>
      <c r="G174" s="252" t="s">
        <v>367</v>
      </c>
      <c r="H174" s="26"/>
    </row>
    <row r="175" spans="1:8" s="29" customFormat="1" ht="15.75" customHeight="1" thickBot="1">
      <c r="A175" s="493" t="s">
        <v>372</v>
      </c>
      <c r="B175" s="503" t="s">
        <v>363</v>
      </c>
      <c r="C175" s="490" t="s">
        <v>369</v>
      </c>
      <c r="D175" s="493" t="s">
        <v>189</v>
      </c>
      <c r="E175" s="493" t="s">
        <v>366</v>
      </c>
      <c r="F175" s="511" t="s">
        <v>203</v>
      </c>
      <c r="G175" s="511" t="s">
        <v>368</v>
      </c>
      <c r="H175" s="40"/>
    </row>
    <row r="176" spans="1:8" s="29" customFormat="1" ht="29.25" customHeight="1" thickBot="1">
      <c r="A176" s="494"/>
      <c r="B176" s="503"/>
      <c r="C176" s="490"/>
      <c r="D176" s="494"/>
      <c r="E176" s="494"/>
      <c r="F176" s="512"/>
      <c r="G176" s="512"/>
      <c r="H176" s="140"/>
    </row>
    <row r="177" spans="1:8" s="29" customFormat="1" ht="15" thickBot="1">
      <c r="A177" s="41">
        <v>1</v>
      </c>
      <c r="B177" s="319">
        <v>2</v>
      </c>
      <c r="C177" s="41">
        <v>3</v>
      </c>
      <c r="D177" s="41">
        <v>4</v>
      </c>
      <c r="E177" s="41">
        <v>5</v>
      </c>
      <c r="F177" s="41">
        <v>6</v>
      </c>
      <c r="G177" s="41">
        <v>7</v>
      </c>
      <c r="H177" s="42"/>
    </row>
    <row r="178" spans="1:7" ht="21.75" customHeight="1">
      <c r="A178" s="288">
        <v>1</v>
      </c>
      <c r="B178" s="391"/>
      <c r="C178" s="44" t="s">
        <v>476</v>
      </c>
      <c r="D178" s="130" t="s">
        <v>385</v>
      </c>
      <c r="E178" s="173">
        <v>82.5</v>
      </c>
      <c r="F178" s="359"/>
      <c r="G178" s="132">
        <f>E178*F178</f>
        <v>0</v>
      </c>
    </row>
    <row r="179" spans="1:7" ht="28.5">
      <c r="A179" s="288">
        <v>2</v>
      </c>
      <c r="B179" s="392"/>
      <c r="C179" s="80" t="s">
        <v>477</v>
      </c>
      <c r="D179" s="130" t="s">
        <v>385</v>
      </c>
      <c r="E179" s="173">
        <v>82.5</v>
      </c>
      <c r="F179" s="359"/>
      <c r="G179" s="132">
        <f aca="true" t="shared" si="2" ref="G179:G191">E179*F179</f>
        <v>0</v>
      </c>
    </row>
    <row r="180" spans="1:7" ht="16.5">
      <c r="A180" s="48">
        <v>3</v>
      </c>
      <c r="B180" s="393"/>
      <c r="C180" s="201" t="s">
        <v>406</v>
      </c>
      <c r="D180" s="130" t="s">
        <v>385</v>
      </c>
      <c r="E180" s="173">
        <v>69</v>
      </c>
      <c r="F180" s="359"/>
      <c r="G180" s="132">
        <f t="shared" si="2"/>
        <v>0</v>
      </c>
    </row>
    <row r="181" spans="1:7" ht="16.5">
      <c r="A181" s="48">
        <v>4</v>
      </c>
      <c r="B181" s="393"/>
      <c r="C181" s="201" t="s">
        <v>408</v>
      </c>
      <c r="D181" s="130" t="s">
        <v>386</v>
      </c>
      <c r="E181" s="173">
        <v>102.5</v>
      </c>
      <c r="F181" s="359"/>
      <c r="G181" s="132">
        <f t="shared" si="2"/>
        <v>0</v>
      </c>
    </row>
    <row r="182" spans="1:7" ht="14.25">
      <c r="A182" s="48">
        <v>5</v>
      </c>
      <c r="B182" s="393"/>
      <c r="C182" s="201" t="s">
        <v>409</v>
      </c>
      <c r="D182" s="130" t="s">
        <v>251</v>
      </c>
      <c r="E182" s="173">
        <v>155.34</v>
      </c>
      <c r="F182" s="359"/>
      <c r="G182" s="132">
        <f t="shared" si="2"/>
        <v>0</v>
      </c>
    </row>
    <row r="183" spans="1:7" ht="16.5">
      <c r="A183" s="48">
        <v>6</v>
      </c>
      <c r="B183" s="393"/>
      <c r="C183" s="201" t="s">
        <v>410</v>
      </c>
      <c r="D183" s="130" t="s">
        <v>385</v>
      </c>
      <c r="E183" s="173">
        <v>2</v>
      </c>
      <c r="F183" s="359"/>
      <c r="G183" s="132">
        <f t="shared" si="2"/>
        <v>0</v>
      </c>
    </row>
    <row r="184" spans="1:7" ht="16.5">
      <c r="A184" s="48">
        <v>7</v>
      </c>
      <c r="B184" s="393"/>
      <c r="C184" s="201" t="s">
        <v>478</v>
      </c>
      <c r="D184" s="130" t="s">
        <v>385</v>
      </c>
      <c r="E184" s="173">
        <v>11.5</v>
      </c>
      <c r="F184" s="359"/>
      <c r="G184" s="132">
        <f t="shared" si="2"/>
        <v>0</v>
      </c>
    </row>
    <row r="185" spans="1:7" ht="28.5">
      <c r="A185" s="48">
        <v>8</v>
      </c>
      <c r="B185" s="393"/>
      <c r="C185" s="201" t="s">
        <v>479</v>
      </c>
      <c r="D185" s="130" t="s">
        <v>251</v>
      </c>
      <c r="E185" s="173">
        <v>340.2</v>
      </c>
      <c r="F185" s="359"/>
      <c r="G185" s="132">
        <f t="shared" si="2"/>
        <v>0</v>
      </c>
    </row>
    <row r="186" spans="1:7" ht="14.25">
      <c r="A186" s="48">
        <v>9</v>
      </c>
      <c r="B186" s="393"/>
      <c r="C186" s="201" t="s">
        <v>535</v>
      </c>
      <c r="D186" s="130" t="s">
        <v>190</v>
      </c>
      <c r="E186" s="173">
        <v>105</v>
      </c>
      <c r="F186" s="359"/>
      <c r="G186" s="132">
        <f t="shared" si="2"/>
        <v>0</v>
      </c>
    </row>
    <row r="187" spans="1:7" ht="14.25">
      <c r="A187" s="48">
        <v>10</v>
      </c>
      <c r="B187" s="393"/>
      <c r="C187" s="201" t="s">
        <v>481</v>
      </c>
      <c r="D187" s="130" t="s">
        <v>251</v>
      </c>
      <c r="E187" s="173">
        <v>86.76</v>
      </c>
      <c r="F187" s="359"/>
      <c r="G187" s="132">
        <f t="shared" si="2"/>
        <v>0</v>
      </c>
    </row>
    <row r="188" spans="1:7" ht="14.25">
      <c r="A188" s="48">
        <v>11</v>
      </c>
      <c r="B188" s="393"/>
      <c r="C188" s="201" t="s">
        <v>482</v>
      </c>
      <c r="D188" s="130" t="s">
        <v>251</v>
      </c>
      <c r="E188" s="173">
        <v>3.8</v>
      </c>
      <c r="F188" s="359"/>
      <c r="G188" s="132">
        <f t="shared" si="2"/>
        <v>0</v>
      </c>
    </row>
    <row r="189" spans="1:7" ht="14.25">
      <c r="A189" s="48">
        <v>12</v>
      </c>
      <c r="B189" s="393"/>
      <c r="C189" s="201" t="s">
        <v>483</v>
      </c>
      <c r="D189" s="130" t="s">
        <v>190</v>
      </c>
      <c r="E189" s="173">
        <v>101</v>
      </c>
      <c r="F189" s="359"/>
      <c r="G189" s="132">
        <f t="shared" si="2"/>
        <v>0</v>
      </c>
    </row>
    <row r="190" spans="1:7" ht="14.25">
      <c r="A190" s="48">
        <v>13</v>
      </c>
      <c r="B190" s="393"/>
      <c r="C190" s="201" t="s">
        <v>484</v>
      </c>
      <c r="D190" s="130" t="s">
        <v>190</v>
      </c>
      <c r="E190" s="173">
        <v>303</v>
      </c>
      <c r="F190" s="359"/>
      <c r="G190" s="132">
        <f t="shared" si="2"/>
        <v>0</v>
      </c>
    </row>
    <row r="191" spans="1:7" ht="14.25">
      <c r="A191" s="48">
        <v>14</v>
      </c>
      <c r="B191" s="393"/>
      <c r="C191" s="201" t="s">
        <v>485</v>
      </c>
      <c r="D191" s="130" t="s">
        <v>191</v>
      </c>
      <c r="E191" s="173">
        <v>4</v>
      </c>
      <c r="F191" s="359"/>
      <c r="G191" s="132">
        <f t="shared" si="2"/>
        <v>0</v>
      </c>
    </row>
    <row r="192" spans="5:8" s="29" customFormat="1" ht="15">
      <c r="E192" s="57"/>
      <c r="F192" s="58" t="s">
        <v>364</v>
      </c>
      <c r="G192" s="59">
        <f>SUM(G178:G191)</f>
        <v>0</v>
      </c>
      <c r="H192" s="7"/>
    </row>
    <row r="193" spans="5:8" s="29" customFormat="1" ht="15">
      <c r="E193" s="484" t="s">
        <v>206</v>
      </c>
      <c r="F193" s="484"/>
      <c r="G193" s="59">
        <f>G192*0.2</f>
        <v>0</v>
      </c>
      <c r="H193" s="7"/>
    </row>
    <row r="194" spans="3:8" s="29" customFormat="1" ht="15">
      <c r="C194" s="26"/>
      <c r="E194" s="57"/>
      <c r="F194" s="60" t="s">
        <v>365</v>
      </c>
      <c r="G194" s="59">
        <f>G192+G193</f>
        <v>0</v>
      </c>
      <c r="H194" s="7"/>
    </row>
    <row r="195" spans="3:16" s="29" customFormat="1" ht="14.25">
      <c r="C195" s="61"/>
      <c r="D195" s="62"/>
      <c r="E195" s="62"/>
      <c r="H195" s="7"/>
      <c r="O195" s="3"/>
      <c r="P195" s="6"/>
    </row>
    <row r="196" spans="2:16" s="29" customFormat="1" ht="18.75">
      <c r="B196" s="63" t="s">
        <v>370</v>
      </c>
      <c r="C196" s="64" t="s">
        <v>371</v>
      </c>
      <c r="D196" s="62"/>
      <c r="E196" s="62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8:16" s="29" customFormat="1" ht="14.25"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8:16" s="29" customFormat="1" ht="15" customHeight="1"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8:16" s="29" customFormat="1" ht="14.25"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7" s="67" customFormat="1" ht="15">
      <c r="A200" s="187" t="s">
        <v>373</v>
      </c>
      <c r="B200" s="2"/>
      <c r="C200" s="65"/>
      <c r="D200" s="66" t="s">
        <v>374</v>
      </c>
      <c r="E200" s="24"/>
      <c r="G200" s="253"/>
    </row>
    <row r="201" spans="1:7" s="67" customFormat="1" ht="12.75">
      <c r="A201" s="2"/>
      <c r="B201" s="2"/>
      <c r="C201" s="11"/>
      <c r="D201" s="2"/>
      <c r="E201" s="24"/>
      <c r="G201" s="253"/>
    </row>
    <row r="202" spans="1:7" s="67" customFormat="1" ht="14.25">
      <c r="A202" s="2"/>
      <c r="B202" s="2"/>
      <c r="C202" s="68"/>
      <c r="D202" s="69" t="s">
        <v>375</v>
      </c>
      <c r="E202" s="24"/>
      <c r="G202" s="253"/>
    </row>
    <row r="203" spans="1:7" s="67" customFormat="1" ht="12.75">
      <c r="A203" s="2"/>
      <c r="B203" s="2"/>
      <c r="C203" s="11"/>
      <c r="D203" s="2"/>
      <c r="E203" s="70" t="s">
        <v>376</v>
      </c>
      <c r="G203" s="253"/>
    </row>
    <row r="204" spans="1:7" s="67" customFormat="1" ht="14.25">
      <c r="A204" s="2"/>
      <c r="B204" s="2"/>
      <c r="C204" s="68"/>
      <c r="D204" s="69" t="s">
        <v>377</v>
      </c>
      <c r="E204" s="24"/>
      <c r="G204" s="253"/>
    </row>
    <row r="205" spans="1:7" s="67" customFormat="1" ht="12.75">
      <c r="A205" s="2"/>
      <c r="B205" s="2"/>
      <c r="C205" s="11"/>
      <c r="D205" s="71" t="s">
        <v>378</v>
      </c>
      <c r="E205" s="24"/>
      <c r="G205" s="253"/>
    </row>
    <row r="208" spans="1:7" ht="15">
      <c r="A208" s="463"/>
      <c r="B208" s="447" t="s">
        <v>560</v>
      </c>
      <c r="C208" s="474" t="s">
        <v>380</v>
      </c>
      <c r="D208" s="474"/>
      <c r="E208" s="474"/>
      <c r="F208" s="474"/>
      <c r="G208" s="474"/>
    </row>
    <row r="209" spans="1:7" ht="15">
      <c r="A209" s="464"/>
      <c r="B209" s="447" t="s">
        <v>561</v>
      </c>
      <c r="C209" s="203" t="s">
        <v>564</v>
      </c>
      <c r="E209" s="141"/>
      <c r="F209" s="445"/>
      <c r="G209" s="141"/>
    </row>
    <row r="210" spans="1:7" ht="30.75" customHeight="1">
      <c r="A210" s="463"/>
      <c r="B210" s="448" t="s">
        <v>558</v>
      </c>
      <c r="C210" s="479"/>
      <c r="D210" s="479"/>
      <c r="E210" s="479"/>
      <c r="F210" s="479"/>
      <c r="G210" s="479"/>
    </row>
    <row r="211" spans="1:7" ht="18" customHeight="1">
      <c r="A211" s="471" t="s">
        <v>559</v>
      </c>
      <c r="B211" s="471"/>
      <c r="C211" s="474"/>
      <c r="D211" s="474"/>
      <c r="E211" s="474"/>
      <c r="F211" s="474"/>
      <c r="G211" s="474"/>
    </row>
    <row r="212" spans="1:9" s="137" customFormat="1" ht="15" customHeight="1">
      <c r="A212" s="183"/>
      <c r="B212" s="465" t="s">
        <v>18</v>
      </c>
      <c r="C212" s="35" t="s">
        <v>540</v>
      </c>
      <c r="D212" s="35"/>
      <c r="E212" s="35"/>
      <c r="F212" s="211"/>
      <c r="G212" s="211"/>
      <c r="H212" s="35"/>
      <c r="I212" s="35"/>
    </row>
    <row r="213" spans="1:8" s="137" customFormat="1" ht="15">
      <c r="A213" s="183"/>
      <c r="B213" s="466" t="s">
        <v>440</v>
      </c>
      <c r="C213" s="168" t="s">
        <v>486</v>
      </c>
      <c r="D213" s="166"/>
      <c r="E213" s="138"/>
      <c r="F213" s="138"/>
      <c r="G213" s="138"/>
      <c r="H213" s="138"/>
    </row>
    <row r="214" spans="1:8" s="137" customFormat="1" ht="15">
      <c r="A214" s="139"/>
      <c r="B214" s="318"/>
      <c r="C214" s="518"/>
      <c r="D214" s="518"/>
      <c r="E214" s="518"/>
      <c r="F214" s="518"/>
      <c r="G214" s="518"/>
      <c r="H214" s="518"/>
    </row>
    <row r="215" spans="1:7" s="213" customFormat="1" ht="20.25">
      <c r="A215" s="516" t="s">
        <v>513</v>
      </c>
      <c r="B215" s="516"/>
      <c r="C215" s="516"/>
      <c r="D215" s="516"/>
      <c r="E215" s="516"/>
      <c r="F215" s="169" t="s">
        <v>549</v>
      </c>
      <c r="G215" s="163"/>
    </row>
    <row r="216" spans="1:8" s="29" customFormat="1" ht="15.75" customHeight="1" thickBot="1">
      <c r="A216" s="488"/>
      <c r="B216" s="488"/>
      <c r="C216" s="488"/>
      <c r="D216" s="488"/>
      <c r="E216" s="488"/>
      <c r="F216" s="118"/>
      <c r="G216" s="252" t="s">
        <v>367</v>
      </c>
      <c r="H216" s="26"/>
    </row>
    <row r="217" spans="1:8" s="29" customFormat="1" ht="15.75" customHeight="1" thickBot="1">
      <c r="A217" s="493" t="s">
        <v>372</v>
      </c>
      <c r="B217" s="503" t="s">
        <v>363</v>
      </c>
      <c r="C217" s="490" t="s">
        <v>369</v>
      </c>
      <c r="D217" s="493" t="s">
        <v>189</v>
      </c>
      <c r="E217" s="493" t="s">
        <v>366</v>
      </c>
      <c r="F217" s="511" t="s">
        <v>203</v>
      </c>
      <c r="G217" s="511" t="s">
        <v>368</v>
      </c>
      <c r="H217" s="40"/>
    </row>
    <row r="218" spans="1:8" s="29" customFormat="1" ht="29.25" customHeight="1" thickBot="1">
      <c r="A218" s="494"/>
      <c r="B218" s="503"/>
      <c r="C218" s="490"/>
      <c r="D218" s="494"/>
      <c r="E218" s="494"/>
      <c r="F218" s="512"/>
      <c r="G218" s="512"/>
      <c r="H218" s="140"/>
    </row>
    <row r="219" spans="1:8" s="29" customFormat="1" ht="15" thickBot="1">
      <c r="A219" s="41">
        <v>1</v>
      </c>
      <c r="B219" s="319">
        <v>2</v>
      </c>
      <c r="C219" s="41">
        <v>3</v>
      </c>
      <c r="D219" s="41">
        <v>4</v>
      </c>
      <c r="E219" s="41">
        <v>5</v>
      </c>
      <c r="F219" s="41">
        <v>6</v>
      </c>
      <c r="G219" s="41">
        <v>7</v>
      </c>
      <c r="H219" s="42"/>
    </row>
    <row r="220" spans="1:8" s="179" customFormat="1" ht="5.25">
      <c r="A220" s="237"/>
      <c r="B220" s="332"/>
      <c r="C220" s="237"/>
      <c r="D220" s="237"/>
      <c r="E220" s="237"/>
      <c r="F220" s="237"/>
      <c r="G220" s="237"/>
      <c r="H220" s="238"/>
    </row>
    <row r="221" spans="1:8" s="29" customFormat="1" ht="15">
      <c r="A221" s="186" t="s">
        <v>396</v>
      </c>
      <c r="B221" s="333" t="s">
        <v>519</v>
      </c>
      <c r="C221" s="233"/>
      <c r="D221" s="233"/>
      <c r="E221" s="233"/>
      <c r="F221" s="233"/>
      <c r="G221" s="234"/>
      <c r="H221" s="46"/>
    </row>
    <row r="222" spans="1:8" s="203" customFormat="1" ht="16.5" customHeight="1">
      <c r="A222" s="227"/>
      <c r="B222" s="334" t="s">
        <v>487</v>
      </c>
      <c r="C222" s="228"/>
      <c r="D222" s="228"/>
      <c r="E222" s="228"/>
      <c r="F222" s="229"/>
      <c r="G222" s="254"/>
      <c r="H222" s="204"/>
    </row>
    <row r="223" spans="1:8" ht="14.25">
      <c r="A223" s="243">
        <v>1</v>
      </c>
      <c r="B223" s="394"/>
      <c r="C223" s="242" t="s">
        <v>490</v>
      </c>
      <c r="D223" s="243" t="s">
        <v>489</v>
      </c>
      <c r="E223" s="243">
        <v>1</v>
      </c>
      <c r="F223" s="382"/>
      <c r="G223" s="289">
        <f>E223*F223</f>
        <v>0</v>
      </c>
      <c r="H223" s="206"/>
    </row>
    <row r="224" spans="1:8" ht="14.25">
      <c r="A224" s="243">
        <v>2</v>
      </c>
      <c r="B224" s="394"/>
      <c r="C224" s="242" t="s">
        <v>491</v>
      </c>
      <c r="D224" s="243" t="s">
        <v>489</v>
      </c>
      <c r="E224" s="243">
        <v>3</v>
      </c>
      <c r="F224" s="382"/>
      <c r="G224" s="289">
        <f>E224*F224</f>
        <v>0</v>
      </c>
      <c r="H224" s="206"/>
    </row>
    <row r="225" spans="1:8" s="203" customFormat="1" ht="16.5" customHeight="1">
      <c r="A225" s="230"/>
      <c r="B225" s="335" t="s">
        <v>492</v>
      </c>
      <c r="C225" s="202"/>
      <c r="D225" s="244"/>
      <c r="E225" s="244"/>
      <c r="F225" s="247"/>
      <c r="G225" s="256"/>
      <c r="H225" s="204"/>
    </row>
    <row r="226" spans="1:8" ht="14.25">
      <c r="A226" s="243">
        <v>3</v>
      </c>
      <c r="B226" s="394"/>
      <c r="C226" s="242" t="s">
        <v>494</v>
      </c>
      <c r="D226" s="243" t="s">
        <v>489</v>
      </c>
      <c r="E226" s="243">
        <v>2</v>
      </c>
      <c r="F226" s="382"/>
      <c r="G226" s="289">
        <f>E226*F226</f>
        <v>0</v>
      </c>
      <c r="H226" s="206"/>
    </row>
    <row r="227" spans="1:8" ht="14.25">
      <c r="A227" s="243">
        <v>4</v>
      </c>
      <c r="B227" s="394"/>
      <c r="C227" s="242" t="s">
        <v>495</v>
      </c>
      <c r="D227" s="243" t="s">
        <v>489</v>
      </c>
      <c r="E227" s="243">
        <v>2</v>
      </c>
      <c r="F227" s="382"/>
      <c r="G227" s="289">
        <f>E227*F227</f>
        <v>0</v>
      </c>
      <c r="H227" s="206"/>
    </row>
    <row r="228" spans="1:8" ht="14.25">
      <c r="A228" s="243">
        <v>5</v>
      </c>
      <c r="B228" s="394"/>
      <c r="C228" s="290" t="s">
        <v>496</v>
      </c>
      <c r="D228" s="243" t="s">
        <v>489</v>
      </c>
      <c r="E228" s="243">
        <v>2</v>
      </c>
      <c r="F228" s="382"/>
      <c r="G228" s="289">
        <f>E228*F228</f>
        <v>0</v>
      </c>
      <c r="H228" s="206"/>
    </row>
    <row r="229" spans="1:8" ht="14.25">
      <c r="A229" s="243">
        <v>6</v>
      </c>
      <c r="B229" s="394"/>
      <c r="C229" s="242" t="s">
        <v>497</v>
      </c>
      <c r="D229" s="243" t="s">
        <v>489</v>
      </c>
      <c r="E229" s="243">
        <v>1</v>
      </c>
      <c r="F229" s="382"/>
      <c r="G229" s="289">
        <f>E229*F229</f>
        <v>0</v>
      </c>
      <c r="H229" s="206"/>
    </row>
    <row r="230" spans="1:8" ht="14.25">
      <c r="A230" s="243">
        <v>7</v>
      </c>
      <c r="B230" s="394"/>
      <c r="C230" s="242" t="s">
        <v>536</v>
      </c>
      <c r="D230" s="243" t="s">
        <v>489</v>
      </c>
      <c r="E230" s="243">
        <v>1</v>
      </c>
      <c r="F230" s="382"/>
      <c r="G230" s="289">
        <f>E230*F230</f>
        <v>0</v>
      </c>
      <c r="H230" s="206"/>
    </row>
    <row r="231" spans="1:8" s="203" customFormat="1" ht="15">
      <c r="A231" s="231"/>
      <c r="B231" s="335" t="s">
        <v>498</v>
      </c>
      <c r="C231" s="202"/>
      <c r="D231" s="244"/>
      <c r="E231" s="244"/>
      <c r="F231" s="247"/>
      <c r="G231" s="256"/>
      <c r="H231" s="204"/>
    </row>
    <row r="232" spans="1:8" ht="16.5" customHeight="1">
      <c r="A232" s="243">
        <v>8</v>
      </c>
      <c r="B232" s="394"/>
      <c r="C232" s="242" t="s">
        <v>537</v>
      </c>
      <c r="D232" s="243" t="s">
        <v>489</v>
      </c>
      <c r="E232" s="243">
        <v>2</v>
      </c>
      <c r="F232" s="382"/>
      <c r="G232" s="289">
        <f aca="true" t="shared" si="3" ref="G232:G237">E232*F232</f>
        <v>0</v>
      </c>
      <c r="H232" s="206"/>
    </row>
    <row r="233" spans="1:8" ht="14.25">
      <c r="A233" s="243">
        <v>9</v>
      </c>
      <c r="B233" s="394"/>
      <c r="C233" s="242" t="s">
        <v>499</v>
      </c>
      <c r="D233" s="243" t="s">
        <v>489</v>
      </c>
      <c r="E233" s="243">
        <v>9</v>
      </c>
      <c r="F233" s="382"/>
      <c r="G233" s="289">
        <f t="shared" si="3"/>
        <v>0</v>
      </c>
      <c r="H233" s="206"/>
    </row>
    <row r="234" spans="1:8" ht="14.25">
      <c r="A234" s="243">
        <v>10</v>
      </c>
      <c r="B234" s="394"/>
      <c r="C234" s="242" t="s">
        <v>500</v>
      </c>
      <c r="D234" s="243" t="s">
        <v>489</v>
      </c>
      <c r="E234" s="243">
        <v>18</v>
      </c>
      <c r="F234" s="382"/>
      <c r="G234" s="289">
        <f t="shared" si="3"/>
        <v>0</v>
      </c>
      <c r="H234" s="206"/>
    </row>
    <row r="235" spans="1:8" ht="14.25">
      <c r="A235" s="243">
        <v>11</v>
      </c>
      <c r="B235" s="394"/>
      <c r="C235" s="242" t="s">
        <v>501</v>
      </c>
      <c r="D235" s="243" t="s">
        <v>489</v>
      </c>
      <c r="E235" s="243">
        <v>3</v>
      </c>
      <c r="F235" s="382"/>
      <c r="G235" s="289">
        <f t="shared" si="3"/>
        <v>0</v>
      </c>
      <c r="H235" s="206"/>
    </row>
    <row r="236" spans="1:8" ht="14.25">
      <c r="A236" s="243">
        <v>12</v>
      </c>
      <c r="B236" s="394"/>
      <c r="C236" s="242" t="s">
        <v>502</v>
      </c>
      <c r="D236" s="243" t="s">
        <v>489</v>
      </c>
      <c r="E236" s="243">
        <v>168</v>
      </c>
      <c r="F236" s="382"/>
      <c r="G236" s="289">
        <f t="shared" si="3"/>
        <v>0</v>
      </c>
      <c r="H236" s="206"/>
    </row>
    <row r="237" spans="1:8" ht="14.25">
      <c r="A237" s="243">
        <v>13</v>
      </c>
      <c r="B237" s="394"/>
      <c r="C237" s="242" t="s">
        <v>503</v>
      </c>
      <c r="D237" s="243" t="s">
        <v>489</v>
      </c>
      <c r="E237" s="243">
        <v>3</v>
      </c>
      <c r="F237" s="382"/>
      <c r="G237" s="289">
        <f t="shared" si="3"/>
        <v>0</v>
      </c>
      <c r="H237" s="206"/>
    </row>
    <row r="238" spans="1:8" s="236" customFormat="1" ht="6" thickBot="1">
      <c r="A238" s="239"/>
      <c r="B238" s="336"/>
      <c r="C238" s="241"/>
      <c r="D238" s="245"/>
      <c r="E238" s="245"/>
      <c r="F238" s="248"/>
      <c r="G238" s="257"/>
      <c r="H238" s="235"/>
    </row>
    <row r="239" spans="1:8" ht="16.5" thickBot="1" thickTop="1">
      <c r="A239" s="207" t="s">
        <v>397</v>
      </c>
      <c r="B239" s="514" t="s">
        <v>516</v>
      </c>
      <c r="C239" s="515"/>
      <c r="D239" s="244"/>
      <c r="E239" s="246"/>
      <c r="F239" s="249"/>
      <c r="G239" s="258"/>
      <c r="H239" s="208"/>
    </row>
    <row r="240" spans="1:9" ht="29.25" thickTop="1">
      <c r="A240" s="243">
        <v>14</v>
      </c>
      <c r="B240" s="394"/>
      <c r="C240" s="242" t="s">
        <v>548</v>
      </c>
      <c r="D240" s="243" t="s">
        <v>504</v>
      </c>
      <c r="E240" s="243">
        <v>495</v>
      </c>
      <c r="F240" s="382"/>
      <c r="G240" s="289">
        <f>E240*F240</f>
        <v>0</v>
      </c>
      <c r="H240" s="209"/>
      <c r="I240" s="143"/>
    </row>
    <row r="241" spans="2:8" s="29" customFormat="1" ht="15">
      <c r="B241" s="320"/>
      <c r="E241" s="57"/>
      <c r="F241" s="58" t="s">
        <v>364</v>
      </c>
      <c r="G241" s="59">
        <f>SUM(G223:G240)</f>
        <v>0</v>
      </c>
      <c r="H241" s="7"/>
    </row>
    <row r="242" spans="2:8" s="29" customFormat="1" ht="15">
      <c r="B242" s="320"/>
      <c r="E242" s="484" t="s">
        <v>206</v>
      </c>
      <c r="F242" s="484"/>
      <c r="G242" s="59">
        <f>G241*0.2</f>
        <v>0</v>
      </c>
      <c r="H242" s="7"/>
    </row>
    <row r="243" spans="2:8" s="29" customFormat="1" ht="15">
      <c r="B243" s="320"/>
      <c r="C243" s="26"/>
      <c r="E243" s="57"/>
      <c r="F243" s="60" t="s">
        <v>365</v>
      </c>
      <c r="G243" s="59">
        <f>G241+G242</f>
        <v>0</v>
      </c>
      <c r="H243" s="7"/>
    </row>
    <row r="244" spans="2:16" s="29" customFormat="1" ht="14.25">
      <c r="B244" s="320"/>
      <c r="C244" s="61"/>
      <c r="D244" s="62"/>
      <c r="E244" s="62"/>
      <c r="H244" s="7"/>
      <c r="O244" s="3"/>
      <c r="P244" s="6"/>
    </row>
    <row r="245" spans="2:16" s="29" customFormat="1" ht="18.75">
      <c r="B245" s="321" t="s">
        <v>370</v>
      </c>
      <c r="C245" s="64" t="s">
        <v>371</v>
      </c>
      <c r="D245" s="62"/>
      <c r="E245" s="62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2:16" s="29" customFormat="1" ht="14.25">
      <c r="B246" s="320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2:16" s="29" customFormat="1" ht="15" customHeight="1">
      <c r="B247" s="320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2:16" s="29" customFormat="1" ht="14.25">
      <c r="B248" s="320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7" s="67" customFormat="1" ht="15">
      <c r="A249" s="187" t="s">
        <v>373</v>
      </c>
      <c r="B249" s="322"/>
      <c r="C249" s="65"/>
      <c r="D249" s="66" t="s">
        <v>374</v>
      </c>
      <c r="E249" s="24"/>
      <c r="G249" s="253"/>
    </row>
    <row r="250" spans="1:7" s="67" customFormat="1" ht="12.75">
      <c r="A250" s="2"/>
      <c r="B250" s="322"/>
      <c r="C250" s="11"/>
      <c r="D250" s="2"/>
      <c r="E250" s="24"/>
      <c r="G250" s="253"/>
    </row>
    <row r="251" spans="1:7" s="67" customFormat="1" ht="14.25">
      <c r="A251" s="2"/>
      <c r="B251" s="322"/>
      <c r="C251" s="68"/>
      <c r="D251" s="69" t="s">
        <v>375</v>
      </c>
      <c r="E251" s="24"/>
      <c r="G251" s="253"/>
    </row>
    <row r="252" spans="1:7" s="67" customFormat="1" ht="12.75">
      <c r="A252" s="2"/>
      <c r="B252" s="322"/>
      <c r="C252" s="11"/>
      <c r="D252" s="2"/>
      <c r="E252" s="70" t="s">
        <v>376</v>
      </c>
      <c r="G252" s="253"/>
    </row>
    <row r="253" spans="1:7" s="67" customFormat="1" ht="14.25">
      <c r="A253" s="2"/>
      <c r="B253" s="322"/>
      <c r="C253" s="68"/>
      <c r="D253" s="69" t="s">
        <v>377</v>
      </c>
      <c r="E253" s="24"/>
      <c r="G253" s="253"/>
    </row>
    <row r="254" spans="1:7" s="67" customFormat="1" ht="12.75">
      <c r="A254" s="2"/>
      <c r="B254" s="322"/>
      <c r="C254" s="11"/>
      <c r="D254" s="71" t="s">
        <v>378</v>
      </c>
      <c r="E254" s="24"/>
      <c r="G254" s="253"/>
    </row>
    <row r="255" spans="2:7" s="210" customFormat="1" ht="14.25">
      <c r="B255" s="337"/>
      <c r="F255" s="212"/>
      <c r="G255" s="212"/>
    </row>
    <row r="256" spans="2:7" s="210" customFormat="1" ht="14.25">
      <c r="B256" s="337"/>
      <c r="F256" s="212"/>
      <c r="G256" s="212"/>
    </row>
    <row r="260" spans="1:7" ht="15">
      <c r="A260" s="463"/>
      <c r="B260" s="447" t="s">
        <v>560</v>
      </c>
      <c r="C260" s="474" t="s">
        <v>380</v>
      </c>
      <c r="D260" s="474"/>
      <c r="E260" s="474"/>
      <c r="F260" s="474"/>
      <c r="G260" s="474"/>
    </row>
    <row r="261" spans="1:7" ht="15">
      <c r="A261" s="464"/>
      <c r="B261" s="447" t="s">
        <v>561</v>
      </c>
      <c r="C261" s="203" t="s">
        <v>564</v>
      </c>
      <c r="E261" s="141"/>
      <c r="F261" s="445"/>
      <c r="G261" s="141"/>
    </row>
    <row r="262" spans="1:7" ht="30.75" customHeight="1">
      <c r="A262" s="463"/>
      <c r="B262" s="448" t="s">
        <v>558</v>
      </c>
      <c r="C262" s="479"/>
      <c r="D262" s="479"/>
      <c r="E262" s="479"/>
      <c r="F262" s="479"/>
      <c r="G262" s="479"/>
    </row>
    <row r="263" spans="1:7" ht="18" customHeight="1">
      <c r="A263" s="471" t="s">
        <v>559</v>
      </c>
      <c r="B263" s="471"/>
      <c r="C263" s="474"/>
      <c r="D263" s="474"/>
      <c r="E263" s="474"/>
      <c r="F263" s="474"/>
      <c r="G263" s="474"/>
    </row>
    <row r="264" spans="1:9" s="137" customFormat="1" ht="15" customHeight="1">
      <c r="A264" s="183"/>
      <c r="B264" s="465" t="s">
        <v>18</v>
      </c>
      <c r="C264" s="35" t="s">
        <v>540</v>
      </c>
      <c r="D264" s="35"/>
      <c r="E264" s="35"/>
      <c r="F264" s="211"/>
      <c r="G264" s="211"/>
      <c r="H264" s="35"/>
      <c r="I264" s="35"/>
    </row>
    <row r="265" spans="1:8" s="137" customFormat="1" ht="15">
      <c r="A265" s="183"/>
      <c r="B265" s="317"/>
      <c r="C265" s="168"/>
      <c r="D265" s="166"/>
      <c r="E265" s="138"/>
      <c r="F265" s="138"/>
      <c r="G265" s="138"/>
      <c r="H265" s="138"/>
    </row>
    <row r="266" spans="1:8" s="137" customFormat="1" ht="15">
      <c r="A266" s="139"/>
      <c r="B266" s="318"/>
      <c r="C266" s="518"/>
      <c r="D266" s="518"/>
      <c r="E266" s="518"/>
      <c r="F266" s="518"/>
      <c r="G266" s="518"/>
      <c r="H266" s="518"/>
    </row>
    <row r="267" spans="1:7" s="137" customFormat="1" ht="21">
      <c r="A267" s="516" t="s">
        <v>438</v>
      </c>
      <c r="B267" s="516"/>
      <c r="C267" s="516"/>
      <c r="D267" s="516"/>
      <c r="E267" s="516"/>
      <c r="F267" s="169">
        <v>46</v>
      </c>
      <c r="G267" s="163"/>
    </row>
    <row r="268" spans="1:7" s="137" customFormat="1" ht="20.25">
      <c r="A268" s="165"/>
      <c r="B268" s="338"/>
      <c r="C268" s="165"/>
      <c r="D268" s="165"/>
      <c r="E268" s="165"/>
      <c r="F268" s="163"/>
      <c r="G268" s="163"/>
    </row>
    <row r="269" spans="1:7" s="137" customFormat="1" ht="20.25">
      <c r="A269" s="165"/>
      <c r="B269" s="338"/>
      <c r="C269" s="165"/>
      <c r="D269" s="165"/>
      <c r="E269" s="165"/>
      <c r="F269" s="163"/>
      <c r="G269" s="163"/>
    </row>
    <row r="270" spans="1:8" s="29" customFormat="1" ht="15.75" customHeight="1" thickBot="1">
      <c r="A270" s="517"/>
      <c r="B270" s="517"/>
      <c r="C270" s="517"/>
      <c r="D270" s="517"/>
      <c r="E270" s="517"/>
      <c r="F270" s="26"/>
      <c r="G270" s="252" t="s">
        <v>367</v>
      </c>
      <c r="H270" s="26"/>
    </row>
    <row r="271" spans="1:16" s="118" customFormat="1" ht="32.25" customHeight="1" thickBot="1">
      <c r="A271" s="191" t="s">
        <v>393</v>
      </c>
      <c r="B271" s="490" t="s">
        <v>448</v>
      </c>
      <c r="C271" s="490"/>
      <c r="D271" s="490"/>
      <c r="E271" s="490"/>
      <c r="F271" s="490"/>
      <c r="G271" s="123" t="s">
        <v>368</v>
      </c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1:16" s="179" customFormat="1" ht="5.25">
      <c r="A272" s="124"/>
      <c r="B272" s="339"/>
      <c r="C272" s="124"/>
      <c r="D272" s="124"/>
      <c r="E272" s="124"/>
      <c r="H272" s="180"/>
      <c r="I272" s="180"/>
      <c r="J272" s="180"/>
      <c r="K272" s="180"/>
      <c r="L272" s="180"/>
      <c r="M272" s="180"/>
      <c r="N272" s="180"/>
      <c r="O272" s="180"/>
      <c r="P272" s="180"/>
    </row>
    <row r="273" spans="1:16" s="29" customFormat="1" ht="15">
      <c r="A273" s="181" t="s">
        <v>539</v>
      </c>
      <c r="B273" s="513" t="s">
        <v>449</v>
      </c>
      <c r="C273" s="513"/>
      <c r="D273" s="513"/>
      <c r="E273" s="513"/>
      <c r="F273" s="513"/>
      <c r="G273" s="52">
        <f>G21</f>
        <v>0</v>
      </c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s="179" customFormat="1" ht="5.25">
      <c r="A274" s="190"/>
      <c r="B274" s="340"/>
      <c r="C274" s="188"/>
      <c r="D274" s="188"/>
      <c r="E274" s="188"/>
      <c r="F274" s="188"/>
      <c r="G274" s="250"/>
      <c r="H274" s="180"/>
      <c r="I274" s="180"/>
      <c r="J274" s="180"/>
      <c r="K274" s="180"/>
      <c r="L274" s="180"/>
      <c r="M274" s="180"/>
      <c r="N274" s="180"/>
      <c r="O274" s="180"/>
      <c r="P274" s="180"/>
    </row>
    <row r="275" spans="1:16" s="29" customFormat="1" ht="15">
      <c r="A275" s="181" t="s">
        <v>541</v>
      </c>
      <c r="B275" s="513" t="s">
        <v>450</v>
      </c>
      <c r="C275" s="513"/>
      <c r="D275" s="513"/>
      <c r="E275" s="513"/>
      <c r="F275" s="513"/>
      <c r="G275" s="52">
        <f>G52</f>
        <v>0</v>
      </c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179" customFormat="1" ht="5.25">
      <c r="A276" s="190"/>
      <c r="B276" s="340"/>
      <c r="C276" s="188"/>
      <c r="D276" s="188"/>
      <c r="E276" s="188"/>
      <c r="F276" s="188"/>
      <c r="G276" s="250"/>
      <c r="H276" s="180"/>
      <c r="I276" s="180"/>
      <c r="J276" s="180"/>
      <c r="K276" s="180"/>
      <c r="L276" s="180"/>
      <c r="M276" s="180"/>
      <c r="N276" s="180"/>
      <c r="O276" s="180"/>
      <c r="P276" s="180"/>
    </row>
    <row r="277" spans="1:16" s="29" customFormat="1" ht="15">
      <c r="A277" s="181" t="s">
        <v>543</v>
      </c>
      <c r="B277" s="513" t="s">
        <v>413</v>
      </c>
      <c r="C277" s="513"/>
      <c r="D277" s="513"/>
      <c r="E277" s="513"/>
      <c r="F277" s="513"/>
      <c r="G277" s="52">
        <f>G112</f>
        <v>0</v>
      </c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179" customFormat="1" ht="5.25">
      <c r="A278" s="124"/>
      <c r="B278" s="340"/>
      <c r="C278" s="188"/>
      <c r="D278" s="188"/>
      <c r="E278" s="188"/>
      <c r="F278" s="189"/>
      <c r="G278" s="251"/>
      <c r="H278" s="180"/>
      <c r="I278" s="180"/>
      <c r="J278" s="180"/>
      <c r="K278" s="180"/>
      <c r="L278" s="180"/>
      <c r="M278" s="180"/>
      <c r="N278" s="180"/>
      <c r="O278" s="180"/>
      <c r="P278" s="180"/>
    </row>
    <row r="279" spans="1:16" s="29" customFormat="1" ht="15">
      <c r="A279" s="181" t="s">
        <v>544</v>
      </c>
      <c r="B279" s="513" t="s">
        <v>523</v>
      </c>
      <c r="C279" s="513"/>
      <c r="D279" s="513"/>
      <c r="E279" s="513"/>
      <c r="F279" s="513"/>
      <c r="G279" s="52">
        <f>G150</f>
        <v>0</v>
      </c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s="179" customFormat="1" ht="5.25">
      <c r="A280" s="190"/>
      <c r="B280" s="340"/>
      <c r="C280" s="188"/>
      <c r="D280" s="188"/>
      <c r="E280" s="188"/>
      <c r="F280" s="188"/>
      <c r="G280" s="250"/>
      <c r="H280" s="180"/>
      <c r="I280" s="180"/>
      <c r="J280" s="180"/>
      <c r="K280" s="180"/>
      <c r="L280" s="180"/>
      <c r="M280" s="180"/>
      <c r="N280" s="180"/>
      <c r="O280" s="180"/>
      <c r="P280" s="180"/>
    </row>
    <row r="281" spans="1:16" s="29" customFormat="1" ht="15">
      <c r="A281" s="181" t="s">
        <v>547</v>
      </c>
      <c r="B281" s="513" t="s">
        <v>522</v>
      </c>
      <c r="C281" s="513"/>
      <c r="D281" s="513"/>
      <c r="E281" s="513"/>
      <c r="F281" s="513"/>
      <c r="G281" s="52">
        <f>G192</f>
        <v>0</v>
      </c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s="179" customFormat="1" ht="5.25">
      <c r="A282" s="190"/>
      <c r="B282" s="340"/>
      <c r="C282" s="188"/>
      <c r="D282" s="188"/>
      <c r="E282" s="188"/>
      <c r="F282" s="188"/>
      <c r="G282" s="250"/>
      <c r="H282" s="180"/>
      <c r="I282" s="180"/>
      <c r="J282" s="180"/>
      <c r="K282" s="180"/>
      <c r="L282" s="180"/>
      <c r="M282" s="180"/>
      <c r="N282" s="180"/>
      <c r="O282" s="180"/>
      <c r="P282" s="180"/>
    </row>
    <row r="283" spans="1:16" s="29" customFormat="1" ht="15">
      <c r="A283" s="181" t="s">
        <v>549</v>
      </c>
      <c r="B283" s="513" t="s">
        <v>521</v>
      </c>
      <c r="C283" s="513"/>
      <c r="D283" s="513"/>
      <c r="E283" s="513"/>
      <c r="F283" s="513"/>
      <c r="G283" s="52">
        <f>G241</f>
        <v>0</v>
      </c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s="179" customFormat="1" ht="5.25">
      <c r="A284" s="124"/>
      <c r="B284" s="340"/>
      <c r="C284" s="188"/>
      <c r="D284" s="188"/>
      <c r="E284" s="188"/>
      <c r="F284" s="189"/>
      <c r="G284" s="124"/>
      <c r="H284" s="180"/>
      <c r="I284" s="180"/>
      <c r="J284" s="180"/>
      <c r="K284" s="180"/>
      <c r="L284" s="180"/>
      <c r="M284" s="180"/>
      <c r="N284" s="180"/>
      <c r="O284" s="180"/>
      <c r="P284" s="180"/>
    </row>
    <row r="285" spans="1:16" s="29" customFormat="1" ht="15">
      <c r="A285" s="34"/>
      <c r="B285" s="327"/>
      <c r="C285" s="34"/>
      <c r="D285" s="34"/>
      <c r="E285" s="57"/>
      <c r="F285" s="170" t="s">
        <v>364</v>
      </c>
      <c r="G285" s="261">
        <f>SUM(G273:G283)</f>
        <v>0</v>
      </c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s="29" customFormat="1" ht="15">
      <c r="A286" s="34"/>
      <c r="B286" s="327"/>
      <c r="C286" s="34"/>
      <c r="D286" s="34"/>
      <c r="E286" s="484" t="s">
        <v>206</v>
      </c>
      <c r="F286" s="484"/>
      <c r="G286" s="261">
        <f>G285*0.2</f>
        <v>0</v>
      </c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s="29" customFormat="1" ht="15">
      <c r="A287" s="34"/>
      <c r="B287" s="327"/>
      <c r="C287" s="34"/>
      <c r="D287" s="34"/>
      <c r="E287" s="57"/>
      <c r="F287" s="60" t="s">
        <v>365</v>
      </c>
      <c r="G287" s="261">
        <f>G285+G286</f>
        <v>0</v>
      </c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s="29" customFormat="1" ht="14.25">
      <c r="A288" s="34"/>
      <c r="B288" s="327"/>
      <c r="C288" s="34"/>
      <c r="D288" s="34"/>
      <c r="E288" s="34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s="29" customFormat="1" ht="14.25">
      <c r="A289" s="34"/>
      <c r="B289" s="327"/>
      <c r="C289" s="34"/>
      <c r="D289" s="34"/>
      <c r="E289" s="34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s="29" customFormat="1" ht="14.25">
      <c r="A290" s="34"/>
      <c r="B290" s="327"/>
      <c r="C290" s="34"/>
      <c r="D290" s="34"/>
      <c r="E290" s="34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s="29" customFormat="1" ht="14.25">
      <c r="A291" s="34"/>
      <c r="B291" s="327"/>
      <c r="C291" s="34"/>
      <c r="D291" s="34"/>
      <c r="E291" s="34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s="29" customFormat="1" ht="14.25">
      <c r="A292" s="34"/>
      <c r="B292" s="327"/>
      <c r="C292" s="34"/>
      <c r="D292" s="34"/>
      <c r="E292" s="34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s="29" customFormat="1" ht="14.25">
      <c r="A293" s="34"/>
      <c r="B293" s="327"/>
      <c r="C293" s="34"/>
      <c r="D293" s="34"/>
      <c r="E293" s="34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s="29" customFormat="1" ht="14.25">
      <c r="A294" s="34"/>
      <c r="B294" s="327"/>
      <c r="C294" s="34"/>
      <c r="D294" s="34"/>
      <c r="E294" s="34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2:16" s="29" customFormat="1" ht="15" customHeight="1">
      <c r="B295" s="320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2:16" s="29" customFormat="1" ht="14.25">
      <c r="B296" s="320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7" s="67" customFormat="1" ht="15">
      <c r="A297" s="187" t="s">
        <v>373</v>
      </c>
      <c r="B297" s="322"/>
      <c r="C297" s="65"/>
      <c r="D297" s="66" t="s">
        <v>374</v>
      </c>
      <c r="E297" s="24"/>
      <c r="G297" s="253"/>
    </row>
    <row r="298" spans="1:7" s="67" customFormat="1" ht="12.75">
      <c r="A298" s="2"/>
      <c r="B298" s="322"/>
      <c r="C298" s="11"/>
      <c r="D298" s="2"/>
      <c r="E298" s="24"/>
      <c r="G298" s="253"/>
    </row>
    <row r="299" spans="1:7" s="67" customFormat="1" ht="14.25">
      <c r="A299" s="2"/>
      <c r="B299" s="322"/>
      <c r="C299" s="68"/>
      <c r="D299" s="69" t="s">
        <v>375</v>
      </c>
      <c r="E299" s="24"/>
      <c r="G299" s="253"/>
    </row>
    <row r="300" spans="1:7" s="67" customFormat="1" ht="12.75">
      <c r="A300" s="2"/>
      <c r="B300" s="322"/>
      <c r="C300" s="11"/>
      <c r="D300" s="2"/>
      <c r="E300" s="70" t="s">
        <v>376</v>
      </c>
      <c r="G300" s="253"/>
    </row>
    <row r="301" spans="1:7" s="67" customFormat="1" ht="14.25">
      <c r="A301" s="2"/>
      <c r="B301" s="322"/>
      <c r="C301" s="68"/>
      <c r="D301" s="69" t="s">
        <v>377</v>
      </c>
      <c r="E301" s="24"/>
      <c r="G301" s="253"/>
    </row>
    <row r="302" spans="1:7" s="67" customFormat="1" ht="12.75">
      <c r="A302" s="2"/>
      <c r="B302" s="322"/>
      <c r="C302" s="11"/>
      <c r="D302" s="71" t="s">
        <v>378</v>
      </c>
      <c r="E302" s="24"/>
      <c r="G302" s="253"/>
    </row>
    <row r="303" spans="1:20" s="137" customFormat="1" ht="14.25">
      <c r="A303" s="142"/>
      <c r="B303" s="323"/>
      <c r="C303" s="141"/>
      <c r="D303" s="141"/>
      <c r="E303" s="143"/>
      <c r="F303" s="142"/>
      <c r="G303" s="145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9:A12 C9:E9 B9:B10 B12:E12 C10:C11 A47:A50 C47:E47 B47:B48 B50:E50 C48:C49 A83:A84 B84:E84 C83 A135:A138 C135:E135 B135:B136 B138:E138 C136:C137 A174:A177 C174:E174 B174:B175 B177:E177 C175:C176 A216:A219 C216:E216 B216:B217 B219:E219 C217:C218" name="Range1_2"/>
    <protectedRange password="CF7A" sqref="F242 E241:E243" name="Range1_1_3"/>
    <protectedRange password="CF7A" sqref="A270:E270" name="Range1_2_1_1"/>
    <protectedRange password="CF7A" sqref="E271:F271 B273:C274 B275:B278 B285:C302 B271 B272:E272 D288:E302 D285:D287 D273:E284 B279:C280 B281:B284 A271:A302" name="Range1_3_1"/>
    <protectedRange password="CF7A" sqref="F286 E285:E287" name="Range1_1_3_1"/>
    <protectedRange password="CF7A" sqref="A25:E34" name="Range1_3_2"/>
    <protectedRange password="CF7A" sqref="F22 E21:E23" name="Range1_1_3_2"/>
    <protectedRange password="CF7A" sqref="A56:E65" name="Range1_3_4"/>
    <protectedRange password="CF7A" sqref="F53 E52:E54" name="Range1_1_3_4"/>
    <protectedRange password="CF7A" sqref="A116:E126" name="Range1_3_5"/>
    <protectedRange password="CF7A" sqref="F113 E112:E114" name="Range1_1_3_5"/>
    <protectedRange password="CF7A" sqref="A154:E163" name="Range1_3_6"/>
    <protectedRange password="CF7A" sqref="F151 E150:E152" name="Range1_1_3_6"/>
    <protectedRange password="CF7A" sqref="A196:E205" name="Range1_3_7"/>
    <protectedRange password="CF7A" sqref="F193 E192:E194" name="Range1_1_3_7"/>
  </protectedRanges>
  <mergeCells count="106">
    <mergeCell ref="A211:B211"/>
    <mergeCell ref="C211:G211"/>
    <mergeCell ref="C172:H172"/>
    <mergeCell ref="A173:E173"/>
    <mergeCell ref="C45:H45"/>
    <mergeCell ref="C127:G127"/>
    <mergeCell ref="C129:G129"/>
    <mergeCell ref="A130:B130"/>
    <mergeCell ref="C130:G130"/>
    <mergeCell ref="C166:G166"/>
    <mergeCell ref="C263:G263"/>
    <mergeCell ref="A169:B169"/>
    <mergeCell ref="C169:G169"/>
    <mergeCell ref="C208:G208"/>
    <mergeCell ref="C41:G41"/>
    <mergeCell ref="G48:G49"/>
    <mergeCell ref="C79:H79"/>
    <mergeCell ref="A80:E80"/>
    <mergeCell ref="A81:E81"/>
    <mergeCell ref="C210:G210"/>
    <mergeCell ref="C168:G168"/>
    <mergeCell ref="G136:G137"/>
    <mergeCell ref="A42:B42"/>
    <mergeCell ref="C42:G42"/>
    <mergeCell ref="C73:G73"/>
    <mergeCell ref="C75:G75"/>
    <mergeCell ref="A76:B76"/>
    <mergeCell ref="A46:E46"/>
    <mergeCell ref="A47:E47"/>
    <mergeCell ref="A48:A49"/>
    <mergeCell ref="C1:G1"/>
    <mergeCell ref="C3:G3"/>
    <mergeCell ref="A4:B4"/>
    <mergeCell ref="C4:G4"/>
    <mergeCell ref="C39:G39"/>
    <mergeCell ref="F48:F49"/>
    <mergeCell ref="E10:E11"/>
    <mergeCell ref="F10:F11"/>
    <mergeCell ref="G10:G11"/>
    <mergeCell ref="C7:H7"/>
    <mergeCell ref="A8:E8"/>
    <mergeCell ref="A9:E9"/>
    <mergeCell ref="A10:A11"/>
    <mergeCell ref="B10:B11"/>
    <mergeCell ref="D10:D11"/>
    <mergeCell ref="C10:C11"/>
    <mergeCell ref="B48:B49"/>
    <mergeCell ref="C48:C49"/>
    <mergeCell ref="D48:D49"/>
    <mergeCell ref="E48:E49"/>
    <mergeCell ref="C76:G76"/>
    <mergeCell ref="E82:E83"/>
    <mergeCell ref="F82:F83"/>
    <mergeCell ref="G82:G83"/>
    <mergeCell ref="C133:H133"/>
    <mergeCell ref="A82:A83"/>
    <mergeCell ref="B82:B83"/>
    <mergeCell ref="C82:C83"/>
    <mergeCell ref="D82:D83"/>
    <mergeCell ref="A134:E134"/>
    <mergeCell ref="A135:E135"/>
    <mergeCell ref="A136:A137"/>
    <mergeCell ref="B136:B137"/>
    <mergeCell ref="C136:C137"/>
    <mergeCell ref="D136:D137"/>
    <mergeCell ref="E136:E137"/>
    <mergeCell ref="F136:F137"/>
    <mergeCell ref="D217:D218"/>
    <mergeCell ref="E217:E218"/>
    <mergeCell ref="A174:E174"/>
    <mergeCell ref="A175:A176"/>
    <mergeCell ref="B175:B176"/>
    <mergeCell ref="C175:C176"/>
    <mergeCell ref="D175:D176"/>
    <mergeCell ref="E175:E176"/>
    <mergeCell ref="C214:H214"/>
    <mergeCell ref="B273:F273"/>
    <mergeCell ref="B275:F275"/>
    <mergeCell ref="F175:F176"/>
    <mergeCell ref="G175:G176"/>
    <mergeCell ref="C266:H266"/>
    <mergeCell ref="A215:E215"/>
    <mergeCell ref="A216:E216"/>
    <mergeCell ref="A217:A218"/>
    <mergeCell ref="B217:B218"/>
    <mergeCell ref="F217:F218"/>
    <mergeCell ref="G217:G218"/>
    <mergeCell ref="B239:C239"/>
    <mergeCell ref="E242:F242"/>
    <mergeCell ref="B271:F271"/>
    <mergeCell ref="A267:E267"/>
    <mergeCell ref="C260:G260"/>
    <mergeCell ref="C262:G262"/>
    <mergeCell ref="A270:E270"/>
    <mergeCell ref="C217:C218"/>
    <mergeCell ref="A263:B263"/>
    <mergeCell ref="B281:F281"/>
    <mergeCell ref="B283:F283"/>
    <mergeCell ref="E286:F286"/>
    <mergeCell ref="E22:F22"/>
    <mergeCell ref="E53:F53"/>
    <mergeCell ref="E113:F113"/>
    <mergeCell ref="E151:F151"/>
    <mergeCell ref="E193:F193"/>
    <mergeCell ref="B277:F277"/>
    <mergeCell ref="B279:F279"/>
  </mergeCells>
  <printOptions horizontalCentered="1"/>
  <pageMargins left="0.7086614173228347" right="0.2362204724409449" top="0.26" bottom="0.24" header="0.17" footer="0.21"/>
  <pageSetup horizontalDpi="600" verticalDpi="600" orientation="portrait" paperSize="9" scale="70" r:id="rId1"/>
  <rowBreaks count="6" manualBreakCount="6">
    <brk id="37" max="255" man="1"/>
    <brk id="71" max="255" man="1"/>
    <brk id="125" max="255" man="1"/>
    <brk id="164" max="255" man="1"/>
    <brk id="206" max="255" man="1"/>
    <brk id="258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314"/>
  <sheetViews>
    <sheetView zoomScalePageLayoutView="0" workbookViewId="0" topLeftCell="A265">
      <selection activeCell="B274" sqref="B274"/>
    </sheetView>
  </sheetViews>
  <sheetFormatPr defaultColWidth="9.140625" defaultRowHeight="12.75"/>
  <cols>
    <col min="1" max="1" width="8.28125" style="142" customWidth="1"/>
    <col min="2" max="2" width="20.8515625" style="142" customWidth="1"/>
    <col min="3" max="3" width="60.8515625" style="141" customWidth="1"/>
    <col min="4" max="4" width="9.140625" style="141" customWidth="1"/>
    <col min="5" max="5" width="10.28125" style="143" customWidth="1"/>
    <col min="6" max="6" width="9.57421875" style="142" customWidth="1"/>
    <col min="7" max="7" width="15.8515625" style="145" customWidth="1"/>
    <col min="8" max="8" width="9.140625" style="141" hidden="1" customWidth="1"/>
    <col min="9" max="16384" width="9.140625" style="141" customWidth="1"/>
  </cols>
  <sheetData>
    <row r="1" spans="1:7" ht="15">
      <c r="A1" s="463"/>
      <c r="B1" s="447" t="s">
        <v>560</v>
      </c>
      <c r="C1" s="474" t="s">
        <v>380</v>
      </c>
      <c r="D1" s="474"/>
      <c r="E1" s="474"/>
      <c r="F1" s="474"/>
      <c r="G1" s="474"/>
    </row>
    <row r="2" spans="1:7" ht="15">
      <c r="A2" s="464"/>
      <c r="B2" s="447" t="s">
        <v>561</v>
      </c>
      <c r="C2" s="203" t="s">
        <v>564</v>
      </c>
      <c r="E2" s="141"/>
      <c r="F2" s="445"/>
      <c r="G2" s="141"/>
    </row>
    <row r="3" spans="1:7" ht="30.75" customHeight="1">
      <c r="A3" s="463"/>
      <c r="B3" s="448" t="s">
        <v>558</v>
      </c>
      <c r="C3" s="479"/>
      <c r="D3" s="479"/>
      <c r="E3" s="479"/>
      <c r="F3" s="479"/>
      <c r="G3" s="479"/>
    </row>
    <row r="4" spans="1:7" ht="18" customHeight="1">
      <c r="A4" s="471" t="s">
        <v>559</v>
      </c>
      <c r="B4" s="471"/>
      <c r="C4" s="474"/>
      <c r="D4" s="474"/>
      <c r="E4" s="474"/>
      <c r="F4" s="474"/>
      <c r="G4" s="474"/>
    </row>
    <row r="5" spans="1:9" s="137" customFormat="1" ht="15" customHeight="1">
      <c r="A5" s="183"/>
      <c r="B5" s="465" t="s">
        <v>18</v>
      </c>
      <c r="C5" s="35" t="s">
        <v>506</v>
      </c>
      <c r="D5" s="35"/>
      <c r="E5" s="35"/>
      <c r="F5" s="211"/>
      <c r="G5" s="211"/>
      <c r="H5" s="35"/>
      <c r="I5" s="35"/>
    </row>
    <row r="6" spans="1:8" s="137" customFormat="1" ht="15">
      <c r="A6" s="183"/>
      <c r="B6" s="466" t="s">
        <v>440</v>
      </c>
      <c r="C6" s="168" t="s">
        <v>446</v>
      </c>
      <c r="D6" s="166"/>
      <c r="E6" s="138"/>
      <c r="F6" s="138"/>
      <c r="G6" s="138"/>
      <c r="H6" s="138"/>
    </row>
    <row r="7" spans="1:8" s="137" customFormat="1" ht="15">
      <c r="A7" s="139"/>
      <c r="B7" s="139"/>
      <c r="C7" s="518"/>
      <c r="D7" s="518"/>
      <c r="E7" s="518"/>
      <c r="F7" s="518"/>
      <c r="G7" s="518"/>
      <c r="H7" s="518"/>
    </row>
    <row r="8" spans="1:7" s="213" customFormat="1" ht="20.25">
      <c r="A8" s="516" t="s">
        <v>513</v>
      </c>
      <c r="B8" s="516"/>
      <c r="C8" s="516"/>
      <c r="D8" s="516"/>
      <c r="E8" s="516"/>
      <c r="F8" s="169" t="s">
        <v>505</v>
      </c>
      <c r="G8" s="163"/>
    </row>
    <row r="9" spans="1:8" s="29" customFormat="1" ht="15.75" customHeight="1" thickBot="1">
      <c r="A9" s="488"/>
      <c r="B9" s="488"/>
      <c r="C9" s="488"/>
      <c r="D9" s="488"/>
      <c r="E9" s="488"/>
      <c r="F9" s="118"/>
      <c r="G9" s="252" t="s">
        <v>367</v>
      </c>
      <c r="H9" s="26"/>
    </row>
    <row r="10" spans="1:8" s="29" customFormat="1" ht="15.75" customHeight="1" thickBot="1">
      <c r="A10" s="493" t="s">
        <v>372</v>
      </c>
      <c r="B10" s="490" t="s">
        <v>363</v>
      </c>
      <c r="C10" s="490" t="s">
        <v>369</v>
      </c>
      <c r="D10" s="493" t="s">
        <v>189</v>
      </c>
      <c r="E10" s="493" t="s">
        <v>366</v>
      </c>
      <c r="F10" s="511" t="s">
        <v>203</v>
      </c>
      <c r="G10" s="511" t="s">
        <v>368</v>
      </c>
      <c r="H10" s="40"/>
    </row>
    <row r="11" spans="1:8" s="29" customFormat="1" ht="29.25" customHeight="1" thickBot="1">
      <c r="A11" s="494"/>
      <c r="B11" s="490"/>
      <c r="C11" s="490"/>
      <c r="D11" s="494"/>
      <c r="E11" s="494"/>
      <c r="F11" s="512"/>
      <c r="G11" s="512"/>
      <c r="H11" s="140"/>
    </row>
    <row r="12" spans="1:8" s="29" customFormat="1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</row>
    <row r="13" spans="1:7" ht="16.5">
      <c r="A13" s="129">
        <v>1</v>
      </c>
      <c r="B13" s="356"/>
      <c r="C13" s="44" t="s">
        <v>405</v>
      </c>
      <c r="D13" s="130" t="s">
        <v>385</v>
      </c>
      <c r="E13" s="131">
        <v>210</v>
      </c>
      <c r="F13" s="359"/>
      <c r="G13" s="132">
        <f>E13*F13</f>
        <v>0</v>
      </c>
    </row>
    <row r="14" spans="1:7" ht="16.5">
      <c r="A14" s="48">
        <v>3</v>
      </c>
      <c r="B14" s="357"/>
      <c r="C14" s="133" t="s">
        <v>406</v>
      </c>
      <c r="D14" s="130" t="s">
        <v>385</v>
      </c>
      <c r="E14" s="131">
        <v>175</v>
      </c>
      <c r="F14" s="359"/>
      <c r="G14" s="132">
        <f>E14*F14</f>
        <v>0</v>
      </c>
    </row>
    <row r="15" spans="1:7" s="260" customFormat="1" ht="27.75" customHeight="1">
      <c r="A15" s="259">
        <v>4</v>
      </c>
      <c r="B15" s="371"/>
      <c r="C15" s="172" t="s">
        <v>407</v>
      </c>
      <c r="D15" s="130" t="s">
        <v>385</v>
      </c>
      <c r="E15" s="259">
        <v>30.5</v>
      </c>
      <c r="F15" s="372"/>
      <c r="G15" s="132">
        <f aca="true" t="shared" si="0" ref="G15:G20">E15*F15</f>
        <v>0</v>
      </c>
    </row>
    <row r="16" spans="1:7" ht="16.5">
      <c r="A16" s="48">
        <v>5</v>
      </c>
      <c r="B16" s="357"/>
      <c r="C16" s="133" t="s">
        <v>408</v>
      </c>
      <c r="D16" s="130" t="s">
        <v>386</v>
      </c>
      <c r="E16" s="131">
        <v>26.5</v>
      </c>
      <c r="F16" s="359"/>
      <c r="G16" s="132">
        <f t="shared" si="0"/>
        <v>0</v>
      </c>
    </row>
    <row r="17" spans="1:7" ht="14.25">
      <c r="A17" s="48">
        <v>6</v>
      </c>
      <c r="B17" s="357"/>
      <c r="C17" s="133" t="s">
        <v>409</v>
      </c>
      <c r="D17" s="130" t="s">
        <v>251</v>
      </c>
      <c r="E17" s="131">
        <v>1142</v>
      </c>
      <c r="F17" s="359"/>
      <c r="G17" s="132">
        <f t="shared" si="0"/>
        <v>0</v>
      </c>
    </row>
    <row r="18" spans="1:7" ht="16.5">
      <c r="A18" s="48">
        <v>7</v>
      </c>
      <c r="B18" s="357"/>
      <c r="C18" s="133" t="s">
        <v>410</v>
      </c>
      <c r="D18" s="130" t="s">
        <v>385</v>
      </c>
      <c r="E18" s="131">
        <v>3.5</v>
      </c>
      <c r="F18" s="359"/>
      <c r="G18" s="132">
        <f t="shared" si="0"/>
        <v>0</v>
      </c>
    </row>
    <row r="19" spans="1:7" ht="16.5">
      <c r="A19" s="48">
        <v>8</v>
      </c>
      <c r="B19" s="357"/>
      <c r="C19" s="133" t="s">
        <v>451</v>
      </c>
      <c r="D19" s="130" t="s">
        <v>385</v>
      </c>
      <c r="E19" s="131">
        <v>6</v>
      </c>
      <c r="F19" s="359"/>
      <c r="G19" s="132">
        <f t="shared" si="0"/>
        <v>0</v>
      </c>
    </row>
    <row r="20" spans="1:7" ht="28.5">
      <c r="A20" s="48">
        <v>9</v>
      </c>
      <c r="B20" s="357"/>
      <c r="C20" s="133" t="s">
        <v>452</v>
      </c>
      <c r="D20" s="130" t="s">
        <v>386</v>
      </c>
      <c r="E20" s="131">
        <v>24</v>
      </c>
      <c r="F20" s="359"/>
      <c r="G20" s="132">
        <f t="shared" si="0"/>
        <v>0</v>
      </c>
    </row>
    <row r="21" spans="5:8" s="29" customFormat="1" ht="15">
      <c r="E21" s="57"/>
      <c r="F21" s="58" t="s">
        <v>364</v>
      </c>
      <c r="G21" s="59">
        <f>SUM(G13:G20)</f>
        <v>0</v>
      </c>
      <c r="H21" s="7"/>
    </row>
    <row r="22" spans="5:8" s="29" customFormat="1" ht="15">
      <c r="E22" s="484" t="s">
        <v>206</v>
      </c>
      <c r="F22" s="484"/>
      <c r="G22" s="59">
        <f>G21*0.2</f>
        <v>0</v>
      </c>
      <c r="H22" s="7"/>
    </row>
    <row r="23" spans="3:8" s="29" customFormat="1" ht="15">
      <c r="C23" s="26"/>
      <c r="E23" s="57"/>
      <c r="F23" s="60" t="s">
        <v>365</v>
      </c>
      <c r="G23" s="59">
        <f>G21+G22</f>
        <v>0</v>
      </c>
      <c r="H23" s="7"/>
    </row>
    <row r="24" spans="3:16" s="29" customFormat="1" ht="14.25">
      <c r="C24" s="61"/>
      <c r="D24" s="62"/>
      <c r="E24" s="62"/>
      <c r="H24" s="7"/>
      <c r="O24" s="3"/>
      <c r="P24" s="6"/>
    </row>
    <row r="25" spans="2:16" s="29" customFormat="1" ht="18.75">
      <c r="B25" s="63" t="s">
        <v>370</v>
      </c>
      <c r="C25" s="64" t="s">
        <v>371</v>
      </c>
      <c r="D25" s="62"/>
      <c r="E25" s="62"/>
      <c r="H25" s="28"/>
      <c r="I25" s="28"/>
      <c r="J25" s="28"/>
      <c r="K25" s="28"/>
      <c r="L25" s="28"/>
      <c r="M25" s="28"/>
      <c r="N25" s="28"/>
      <c r="O25" s="28"/>
      <c r="P25" s="28"/>
    </row>
    <row r="26" spans="8:16" s="29" customFormat="1" ht="14.25">
      <c r="H26" s="28"/>
      <c r="I26" s="28"/>
      <c r="J26" s="28"/>
      <c r="K26" s="28"/>
      <c r="L26" s="28"/>
      <c r="M26" s="28"/>
      <c r="N26" s="28"/>
      <c r="O26" s="28"/>
      <c r="P26" s="28"/>
    </row>
    <row r="27" spans="8:16" s="29" customFormat="1" ht="15" customHeight="1">
      <c r="H27" s="28"/>
      <c r="I27" s="28"/>
      <c r="J27" s="28"/>
      <c r="K27" s="28"/>
      <c r="L27" s="28"/>
      <c r="M27" s="28"/>
      <c r="N27" s="28"/>
      <c r="O27" s="28"/>
      <c r="P27" s="28"/>
    </row>
    <row r="28" spans="8:16" s="29" customFormat="1" ht="14.25">
      <c r="H28" s="28"/>
      <c r="I28" s="28"/>
      <c r="J28" s="28"/>
      <c r="K28" s="28"/>
      <c r="L28" s="28"/>
      <c r="M28" s="28"/>
      <c r="N28" s="28"/>
      <c r="O28" s="28"/>
      <c r="P28" s="28"/>
    </row>
    <row r="29" spans="1:7" s="67" customFormat="1" ht="15">
      <c r="A29" s="187" t="s">
        <v>373</v>
      </c>
      <c r="B29" s="2"/>
      <c r="C29" s="65"/>
      <c r="D29" s="66" t="s">
        <v>374</v>
      </c>
      <c r="E29" s="24"/>
      <c r="G29" s="253"/>
    </row>
    <row r="30" spans="1:7" s="67" customFormat="1" ht="12.75">
      <c r="A30" s="2"/>
      <c r="B30" s="2"/>
      <c r="C30" s="11"/>
      <c r="D30" s="2"/>
      <c r="E30" s="24"/>
      <c r="G30" s="253"/>
    </row>
    <row r="31" spans="1:7" s="67" customFormat="1" ht="14.25">
      <c r="A31" s="2"/>
      <c r="B31" s="2"/>
      <c r="C31" s="68"/>
      <c r="D31" s="69" t="s">
        <v>375</v>
      </c>
      <c r="E31" s="24"/>
      <c r="G31" s="253"/>
    </row>
    <row r="32" spans="1:7" s="67" customFormat="1" ht="12.75">
      <c r="A32" s="2"/>
      <c r="B32" s="2"/>
      <c r="C32" s="11"/>
      <c r="D32" s="2"/>
      <c r="E32" s="70" t="s">
        <v>376</v>
      </c>
      <c r="G32" s="253"/>
    </row>
    <row r="33" spans="1:7" s="67" customFormat="1" ht="14.25">
      <c r="A33" s="2"/>
      <c r="B33" s="2"/>
      <c r="C33" s="68"/>
      <c r="D33" s="69" t="s">
        <v>377</v>
      </c>
      <c r="E33" s="24"/>
      <c r="G33" s="253"/>
    </row>
    <row r="34" spans="1:7" s="67" customFormat="1" ht="12.75">
      <c r="A34" s="2"/>
      <c r="B34" s="2"/>
      <c r="C34" s="11"/>
      <c r="D34" s="71" t="s">
        <v>378</v>
      </c>
      <c r="E34" s="24"/>
      <c r="G34" s="253"/>
    </row>
    <row r="35" spans="1:7" ht="15">
      <c r="A35" s="146"/>
      <c r="B35" s="146"/>
      <c r="C35" s="146"/>
      <c r="D35" s="146"/>
      <c r="E35" s="146"/>
      <c r="F35" s="184"/>
      <c r="G35" s="184"/>
    </row>
    <row r="36" spans="1:7" ht="15">
      <c r="A36" s="147"/>
      <c r="B36" s="147"/>
      <c r="C36" s="147"/>
      <c r="D36" s="147"/>
      <c r="E36" s="147"/>
      <c r="F36" s="144"/>
      <c r="G36" s="144"/>
    </row>
    <row r="37" spans="1:7" ht="15">
      <c r="A37" s="147"/>
      <c r="B37" s="147"/>
      <c r="C37" s="147"/>
      <c r="D37" s="147"/>
      <c r="E37" s="147"/>
      <c r="F37" s="144"/>
      <c r="G37" s="144"/>
    </row>
    <row r="38" spans="1:7" ht="15">
      <c r="A38" s="147"/>
      <c r="B38" s="147"/>
      <c r="C38" s="147"/>
      <c r="D38" s="147"/>
      <c r="E38" s="147"/>
      <c r="F38" s="144"/>
      <c r="G38" s="144"/>
    </row>
    <row r="39" spans="1:7" ht="14.25">
      <c r="A39" s="148"/>
      <c r="B39" s="148"/>
      <c r="C39" s="148"/>
      <c r="D39" s="148"/>
      <c r="E39" s="148"/>
      <c r="F39" s="148"/>
      <c r="G39" s="148"/>
    </row>
    <row r="40" spans="1:7" ht="15">
      <c r="A40" s="463"/>
      <c r="B40" s="447" t="s">
        <v>560</v>
      </c>
      <c r="C40" s="474" t="s">
        <v>380</v>
      </c>
      <c r="D40" s="474"/>
      <c r="E40" s="474"/>
      <c r="F40" s="474"/>
      <c r="G40" s="474"/>
    </row>
    <row r="41" spans="1:7" ht="15">
      <c r="A41" s="464"/>
      <c r="B41" s="447" t="s">
        <v>561</v>
      </c>
      <c r="C41" s="203" t="s">
        <v>564</v>
      </c>
      <c r="E41" s="141"/>
      <c r="F41" s="445"/>
      <c r="G41" s="141"/>
    </row>
    <row r="42" spans="1:7" ht="30.75" customHeight="1">
      <c r="A42" s="463"/>
      <c r="B42" s="448" t="s">
        <v>558</v>
      </c>
      <c r="C42" s="479"/>
      <c r="D42" s="479"/>
      <c r="E42" s="479"/>
      <c r="F42" s="479"/>
      <c r="G42" s="479"/>
    </row>
    <row r="43" spans="1:7" ht="18" customHeight="1">
      <c r="A43" s="471" t="s">
        <v>559</v>
      </c>
      <c r="B43" s="471"/>
      <c r="C43" s="474"/>
      <c r="D43" s="474"/>
      <c r="E43" s="474"/>
      <c r="F43" s="474"/>
      <c r="G43" s="474"/>
    </row>
    <row r="44" spans="1:9" s="137" customFormat="1" ht="15" customHeight="1">
      <c r="A44" s="183"/>
      <c r="B44" s="465" t="s">
        <v>18</v>
      </c>
      <c r="C44" s="35" t="s">
        <v>506</v>
      </c>
      <c r="D44" s="35"/>
      <c r="E44" s="35"/>
      <c r="F44" s="211"/>
      <c r="G44" s="211"/>
      <c r="H44" s="35"/>
      <c r="I44" s="35"/>
    </row>
    <row r="45" spans="1:8" s="137" customFormat="1" ht="15">
      <c r="A45" s="183"/>
      <c r="B45" s="466" t="s">
        <v>440</v>
      </c>
      <c r="C45" s="168" t="s">
        <v>444</v>
      </c>
      <c r="D45" s="166"/>
      <c r="E45" s="138"/>
      <c r="F45" s="138"/>
      <c r="G45" s="138"/>
      <c r="H45" s="138"/>
    </row>
    <row r="46" spans="1:8" s="137" customFormat="1" ht="15">
      <c r="A46" s="139"/>
      <c r="B46" s="139"/>
      <c r="C46" s="518"/>
      <c r="D46" s="518"/>
      <c r="E46" s="518"/>
      <c r="F46" s="518"/>
      <c r="G46" s="518"/>
      <c r="H46" s="518"/>
    </row>
    <row r="47" spans="1:7" s="213" customFormat="1" ht="20.25">
      <c r="A47" s="516" t="s">
        <v>513</v>
      </c>
      <c r="B47" s="516"/>
      <c r="C47" s="516"/>
      <c r="D47" s="516"/>
      <c r="E47" s="516"/>
      <c r="F47" s="169" t="s">
        <v>507</v>
      </c>
      <c r="G47" s="163"/>
    </row>
    <row r="48" spans="1:8" s="29" customFormat="1" ht="15.75" customHeight="1" thickBot="1">
      <c r="A48" s="488"/>
      <c r="B48" s="488"/>
      <c r="C48" s="488"/>
      <c r="D48" s="488"/>
      <c r="E48" s="488"/>
      <c r="F48" s="118"/>
      <c r="G48" s="252" t="s">
        <v>367</v>
      </c>
      <c r="H48" s="26"/>
    </row>
    <row r="49" spans="1:8" s="29" customFormat="1" ht="15.75" customHeight="1" thickBot="1">
      <c r="A49" s="493" t="s">
        <v>372</v>
      </c>
      <c r="B49" s="490" t="s">
        <v>363</v>
      </c>
      <c r="C49" s="490" t="s">
        <v>369</v>
      </c>
      <c r="D49" s="493" t="s">
        <v>189</v>
      </c>
      <c r="E49" s="493" t="s">
        <v>366</v>
      </c>
      <c r="F49" s="511" t="s">
        <v>203</v>
      </c>
      <c r="G49" s="511" t="s">
        <v>368</v>
      </c>
      <c r="H49" s="40"/>
    </row>
    <row r="50" spans="1:8" s="29" customFormat="1" ht="29.25" customHeight="1" thickBot="1">
      <c r="A50" s="494"/>
      <c r="B50" s="490"/>
      <c r="C50" s="490"/>
      <c r="D50" s="494"/>
      <c r="E50" s="494"/>
      <c r="F50" s="512"/>
      <c r="G50" s="512"/>
      <c r="H50" s="140"/>
    </row>
    <row r="51" spans="1:8" s="29" customFormat="1" ht="15" thickBot="1">
      <c r="A51" s="41">
        <v>1</v>
      </c>
      <c r="B51" s="41">
        <v>2</v>
      </c>
      <c r="C51" s="41">
        <v>3</v>
      </c>
      <c r="D51" s="41">
        <v>4</v>
      </c>
      <c r="E51" s="41">
        <v>5</v>
      </c>
      <c r="F51" s="41">
        <v>6</v>
      </c>
      <c r="G51" s="41">
        <v>7</v>
      </c>
      <c r="H51" s="42"/>
    </row>
    <row r="52" spans="1:8" ht="132.75">
      <c r="A52" s="154">
        <v>1</v>
      </c>
      <c r="B52" s="373"/>
      <c r="C52" s="155" t="s">
        <v>514</v>
      </c>
      <c r="D52" s="156" t="s">
        <v>191</v>
      </c>
      <c r="E52" s="157">
        <v>1</v>
      </c>
      <c r="F52" s="374"/>
      <c r="G52" s="158">
        <f>E52*F52</f>
        <v>0</v>
      </c>
      <c r="H52" s="152"/>
    </row>
    <row r="53" spans="5:8" s="29" customFormat="1" ht="15">
      <c r="E53" s="57"/>
      <c r="F53" s="58" t="s">
        <v>364</v>
      </c>
      <c r="G53" s="59">
        <f>G52</f>
        <v>0</v>
      </c>
      <c r="H53" s="7"/>
    </row>
    <row r="54" spans="5:8" s="29" customFormat="1" ht="15">
      <c r="E54" s="484" t="s">
        <v>206</v>
      </c>
      <c r="F54" s="484"/>
      <c r="G54" s="59">
        <f>G53*0.2</f>
        <v>0</v>
      </c>
      <c r="H54" s="7"/>
    </row>
    <row r="55" spans="3:8" s="29" customFormat="1" ht="15">
      <c r="C55" s="26"/>
      <c r="E55" s="57"/>
      <c r="F55" s="60" t="s">
        <v>365</v>
      </c>
      <c r="G55" s="59">
        <f>G53+G54</f>
        <v>0</v>
      </c>
      <c r="H55" s="7"/>
    </row>
    <row r="56" spans="3:16" s="29" customFormat="1" ht="14.25">
      <c r="C56" s="61"/>
      <c r="D56" s="62"/>
      <c r="E56" s="62"/>
      <c r="H56" s="7"/>
      <c r="O56" s="3"/>
      <c r="P56" s="6"/>
    </row>
    <row r="57" spans="2:16" s="29" customFormat="1" ht="18.75">
      <c r="B57" s="63" t="s">
        <v>370</v>
      </c>
      <c r="C57" s="64" t="s">
        <v>371</v>
      </c>
      <c r="D57" s="62"/>
      <c r="E57" s="62"/>
      <c r="H57" s="28"/>
      <c r="I57" s="28"/>
      <c r="J57" s="28"/>
      <c r="K57" s="28"/>
      <c r="L57" s="28"/>
      <c r="M57" s="28"/>
      <c r="N57" s="28"/>
      <c r="O57" s="28"/>
      <c r="P57" s="28"/>
    </row>
    <row r="58" spans="8:16" s="29" customFormat="1" ht="14.25">
      <c r="H58" s="28"/>
      <c r="I58" s="28"/>
      <c r="J58" s="28"/>
      <c r="K58" s="28"/>
      <c r="L58" s="28"/>
      <c r="M58" s="28"/>
      <c r="N58" s="28"/>
      <c r="O58" s="28"/>
      <c r="P58" s="28"/>
    </row>
    <row r="59" spans="8:16" s="29" customFormat="1" ht="15" customHeight="1">
      <c r="H59" s="28"/>
      <c r="I59" s="28"/>
      <c r="J59" s="28"/>
      <c r="K59" s="28"/>
      <c r="L59" s="28"/>
      <c r="M59" s="28"/>
      <c r="N59" s="28"/>
      <c r="O59" s="28"/>
      <c r="P59" s="28"/>
    </row>
    <row r="60" spans="8:16" s="29" customFormat="1" ht="14.25">
      <c r="H60" s="28"/>
      <c r="I60" s="28"/>
      <c r="J60" s="28"/>
      <c r="K60" s="28"/>
      <c r="L60" s="28"/>
      <c r="M60" s="28"/>
      <c r="N60" s="28"/>
      <c r="O60" s="28"/>
      <c r="P60" s="28"/>
    </row>
    <row r="61" spans="1:7" s="67" customFormat="1" ht="15">
      <c r="A61" s="187" t="s">
        <v>373</v>
      </c>
      <c r="B61" s="2"/>
      <c r="C61" s="65"/>
      <c r="D61" s="66" t="s">
        <v>374</v>
      </c>
      <c r="E61" s="24"/>
      <c r="G61" s="253"/>
    </row>
    <row r="62" spans="1:7" s="67" customFormat="1" ht="12.75">
      <c r="A62" s="2"/>
      <c r="B62" s="2"/>
      <c r="C62" s="11"/>
      <c r="D62" s="2"/>
      <c r="E62" s="24"/>
      <c r="G62" s="253"/>
    </row>
    <row r="63" spans="1:7" s="67" customFormat="1" ht="14.25">
      <c r="A63" s="2"/>
      <c r="B63" s="2"/>
      <c r="C63" s="68"/>
      <c r="D63" s="69" t="s">
        <v>375</v>
      </c>
      <c r="E63" s="24"/>
      <c r="G63" s="253"/>
    </row>
    <row r="64" spans="1:7" s="67" customFormat="1" ht="12.75">
      <c r="A64" s="2"/>
      <c r="B64" s="2"/>
      <c r="C64" s="11"/>
      <c r="D64" s="2"/>
      <c r="E64" s="70" t="s">
        <v>376</v>
      </c>
      <c r="G64" s="253"/>
    </row>
    <row r="65" spans="1:7" s="67" customFormat="1" ht="14.25">
      <c r="A65" s="2"/>
      <c r="B65" s="2"/>
      <c r="C65" s="68"/>
      <c r="D65" s="69" t="s">
        <v>377</v>
      </c>
      <c r="E65" s="24"/>
      <c r="G65" s="253"/>
    </row>
    <row r="66" spans="1:7" s="67" customFormat="1" ht="12.75">
      <c r="A66" s="2"/>
      <c r="B66" s="2"/>
      <c r="C66" s="11"/>
      <c r="D66" s="71" t="s">
        <v>378</v>
      </c>
      <c r="E66" s="24"/>
      <c r="G66" s="253"/>
    </row>
    <row r="67" spans="1:7" ht="14.25">
      <c r="A67" s="34"/>
      <c r="B67" s="34"/>
      <c r="C67" s="149"/>
      <c r="D67" s="149"/>
      <c r="E67" s="150"/>
      <c r="F67" s="34"/>
      <c r="G67" s="151"/>
    </row>
    <row r="68" spans="1:23" s="137" customFormat="1" ht="17.25" customHeight="1">
      <c r="A68" s="34"/>
      <c r="B68" s="34"/>
      <c r="C68" s="149"/>
      <c r="D68" s="149"/>
      <c r="E68" s="150"/>
      <c r="F68" s="34"/>
      <c r="G68" s="15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7" ht="15">
      <c r="A69" s="146"/>
      <c r="B69" s="146"/>
      <c r="C69" s="146"/>
      <c r="D69" s="146"/>
      <c r="E69" s="146"/>
      <c r="F69" s="184"/>
      <c r="G69" s="184"/>
    </row>
    <row r="70" spans="1:7" ht="15">
      <c r="A70" s="147"/>
      <c r="B70" s="147"/>
      <c r="C70" s="147"/>
      <c r="D70" s="147"/>
      <c r="E70" s="147"/>
      <c r="F70" s="144"/>
      <c r="G70" s="144"/>
    </row>
    <row r="71" spans="1:7" ht="15">
      <c r="A71" s="147"/>
      <c r="B71" s="147"/>
      <c r="C71" s="147"/>
      <c r="D71" s="147"/>
      <c r="E71" s="147"/>
      <c r="F71" s="144"/>
      <c r="G71" s="144"/>
    </row>
    <row r="72" spans="1:7" ht="15">
      <c r="A72" s="147"/>
      <c r="B72" s="147"/>
      <c r="C72" s="147"/>
      <c r="D72" s="147"/>
      <c r="E72" s="147"/>
      <c r="F72" s="144"/>
      <c r="G72" s="144"/>
    </row>
    <row r="73" spans="1:7" ht="14.25">
      <c r="A73" s="148"/>
      <c r="B73" s="148"/>
      <c r="C73" s="148"/>
      <c r="D73" s="148"/>
      <c r="E73" s="148"/>
      <c r="F73" s="148"/>
      <c r="G73" s="148"/>
    </row>
    <row r="74" spans="1:7" ht="14.25">
      <c r="A74" s="34"/>
      <c r="B74" s="34"/>
      <c r="C74" s="149"/>
      <c r="D74" s="149"/>
      <c r="E74" s="150"/>
      <c r="F74" s="151"/>
      <c r="G74" s="151"/>
    </row>
    <row r="75" spans="1:7" ht="15">
      <c r="A75" s="463"/>
      <c r="B75" s="447" t="s">
        <v>560</v>
      </c>
      <c r="C75" s="474" t="s">
        <v>380</v>
      </c>
      <c r="D75" s="474"/>
      <c r="E75" s="474"/>
      <c r="F75" s="474"/>
      <c r="G75" s="474"/>
    </row>
    <row r="76" spans="1:7" ht="15">
      <c r="A76" s="464"/>
      <c r="B76" s="447" t="s">
        <v>561</v>
      </c>
      <c r="C76" s="203" t="s">
        <v>564</v>
      </c>
      <c r="E76" s="141"/>
      <c r="F76" s="445"/>
      <c r="G76" s="141"/>
    </row>
    <row r="77" spans="1:7" ht="30.75" customHeight="1">
      <c r="A77" s="463"/>
      <c r="B77" s="448" t="s">
        <v>558</v>
      </c>
      <c r="C77" s="479"/>
      <c r="D77" s="479"/>
      <c r="E77" s="479"/>
      <c r="F77" s="479"/>
      <c r="G77" s="479"/>
    </row>
    <row r="78" spans="1:7" ht="18" customHeight="1">
      <c r="A78" s="471" t="s">
        <v>559</v>
      </c>
      <c r="B78" s="471"/>
      <c r="C78" s="474"/>
      <c r="D78" s="474"/>
      <c r="E78" s="474"/>
      <c r="F78" s="474"/>
      <c r="G78" s="474"/>
    </row>
    <row r="79" spans="1:9" s="137" customFormat="1" ht="15" customHeight="1">
      <c r="A79" s="183"/>
      <c r="B79" s="465" t="s">
        <v>18</v>
      </c>
      <c r="C79" s="35" t="s">
        <v>506</v>
      </c>
      <c r="D79" s="35"/>
      <c r="E79" s="35"/>
      <c r="F79" s="211"/>
      <c r="G79" s="211"/>
      <c r="H79" s="35"/>
      <c r="I79" s="35"/>
    </row>
    <row r="80" spans="1:8" s="137" customFormat="1" ht="15">
      <c r="A80" s="183"/>
      <c r="B80" s="466" t="s">
        <v>440</v>
      </c>
      <c r="C80" s="168" t="s">
        <v>441</v>
      </c>
      <c r="D80" s="166"/>
      <c r="E80" s="138"/>
      <c r="F80" s="138"/>
      <c r="G80" s="138"/>
      <c r="H80" s="138"/>
    </row>
    <row r="81" spans="1:8" s="137" customFormat="1" ht="15">
      <c r="A81" s="139"/>
      <c r="B81" s="139"/>
      <c r="C81" s="518"/>
      <c r="D81" s="518"/>
      <c r="E81" s="518"/>
      <c r="F81" s="518"/>
      <c r="G81" s="518"/>
      <c r="H81" s="518"/>
    </row>
    <row r="82" spans="1:7" s="213" customFormat="1" ht="20.25">
      <c r="A82" s="516" t="s">
        <v>513</v>
      </c>
      <c r="B82" s="516"/>
      <c r="C82" s="516"/>
      <c r="D82" s="516"/>
      <c r="E82" s="516"/>
      <c r="F82" s="169" t="s">
        <v>508</v>
      </c>
      <c r="G82" s="163"/>
    </row>
    <row r="83" spans="1:8" s="29" customFormat="1" ht="15.75" customHeight="1" thickBot="1">
      <c r="A83" s="488"/>
      <c r="B83" s="488"/>
      <c r="C83" s="488"/>
      <c r="D83" s="488"/>
      <c r="E83" s="488"/>
      <c r="F83" s="118"/>
      <c r="G83" s="252" t="s">
        <v>367</v>
      </c>
      <c r="H83" s="26"/>
    </row>
    <row r="84" spans="1:8" s="29" customFormat="1" ht="15.75" customHeight="1" thickBot="1">
      <c r="A84" s="493" t="s">
        <v>372</v>
      </c>
      <c r="B84" s="490" t="s">
        <v>363</v>
      </c>
      <c r="C84" s="490" t="s">
        <v>369</v>
      </c>
      <c r="D84" s="493" t="s">
        <v>189</v>
      </c>
      <c r="E84" s="493" t="s">
        <v>366</v>
      </c>
      <c r="F84" s="511" t="s">
        <v>203</v>
      </c>
      <c r="G84" s="511" t="s">
        <v>368</v>
      </c>
      <c r="H84" s="40"/>
    </row>
    <row r="85" spans="1:8" s="29" customFormat="1" ht="29.25" customHeight="1" thickBot="1">
      <c r="A85" s="494"/>
      <c r="B85" s="490"/>
      <c r="C85" s="490"/>
      <c r="D85" s="494"/>
      <c r="E85" s="494"/>
      <c r="F85" s="512"/>
      <c r="G85" s="512"/>
      <c r="H85" s="140"/>
    </row>
    <row r="86" spans="1:8" s="29" customFormat="1" ht="15" thickBot="1">
      <c r="A86" s="41">
        <v>1</v>
      </c>
      <c r="B86" s="41">
        <v>2</v>
      </c>
      <c r="C86" s="41">
        <v>3</v>
      </c>
      <c r="D86" s="41">
        <v>4</v>
      </c>
      <c r="E86" s="41">
        <v>5</v>
      </c>
      <c r="F86" s="41">
        <v>6</v>
      </c>
      <c r="G86" s="41">
        <v>7</v>
      </c>
      <c r="H86" s="42"/>
    </row>
    <row r="87" spans="1:8" s="68" customFormat="1" ht="59.25" customHeight="1">
      <c r="A87" s="134">
        <v>1</v>
      </c>
      <c r="B87" s="365"/>
      <c r="C87" s="135" t="s">
        <v>453</v>
      </c>
      <c r="D87" s="136" t="s">
        <v>191</v>
      </c>
      <c r="E87" s="136">
        <v>1</v>
      </c>
      <c r="F87" s="375"/>
      <c r="G87" s="171">
        <f>E87*F87</f>
        <v>0</v>
      </c>
      <c r="H87" s="136"/>
    </row>
    <row r="88" spans="1:8" s="68" customFormat="1" ht="38.25" customHeight="1">
      <c r="A88" s="134">
        <v>2</v>
      </c>
      <c r="B88" s="365"/>
      <c r="C88" s="135" t="s">
        <v>454</v>
      </c>
      <c r="D88" s="136" t="s">
        <v>191</v>
      </c>
      <c r="E88" s="136">
        <v>1</v>
      </c>
      <c r="F88" s="375"/>
      <c r="G88" s="171">
        <f aca="true" t="shared" si="1" ref="G88:G109">E88*F88</f>
        <v>0</v>
      </c>
      <c r="H88" s="136"/>
    </row>
    <row r="89" spans="1:8" s="68" customFormat="1" ht="33.75" customHeight="1">
      <c r="A89" s="134">
        <v>3</v>
      </c>
      <c r="B89" s="365"/>
      <c r="C89" s="135" t="s">
        <v>455</v>
      </c>
      <c r="D89" s="136" t="s">
        <v>191</v>
      </c>
      <c r="E89" s="136">
        <v>1</v>
      </c>
      <c r="F89" s="375"/>
      <c r="G89" s="171">
        <f t="shared" si="1"/>
        <v>0</v>
      </c>
      <c r="H89" s="136"/>
    </row>
    <row r="90" spans="1:8" s="68" customFormat="1" ht="20.25" customHeight="1">
      <c r="A90" s="134">
        <v>4</v>
      </c>
      <c r="B90" s="365"/>
      <c r="C90" s="135" t="s">
        <v>416</v>
      </c>
      <c r="D90" s="136" t="s">
        <v>191</v>
      </c>
      <c r="E90" s="136">
        <v>2</v>
      </c>
      <c r="F90" s="375"/>
      <c r="G90" s="171">
        <f t="shared" si="1"/>
        <v>0</v>
      </c>
      <c r="H90" s="136"/>
    </row>
    <row r="91" spans="1:8" s="68" customFormat="1" ht="20.25" customHeight="1">
      <c r="A91" s="134">
        <v>5</v>
      </c>
      <c r="B91" s="365"/>
      <c r="C91" s="135" t="s">
        <v>417</v>
      </c>
      <c r="D91" s="136" t="s">
        <v>191</v>
      </c>
      <c r="E91" s="136">
        <v>1</v>
      </c>
      <c r="F91" s="375"/>
      <c r="G91" s="171">
        <f t="shared" si="1"/>
        <v>0</v>
      </c>
      <c r="H91" s="136"/>
    </row>
    <row r="92" spans="1:8" s="68" customFormat="1" ht="20.25" customHeight="1">
      <c r="A92" s="134">
        <v>6</v>
      </c>
      <c r="B92" s="365"/>
      <c r="C92" s="135" t="s">
        <v>418</v>
      </c>
      <c r="D92" s="136" t="s">
        <v>191</v>
      </c>
      <c r="E92" s="136">
        <v>1</v>
      </c>
      <c r="F92" s="375"/>
      <c r="G92" s="171">
        <f t="shared" si="1"/>
        <v>0</v>
      </c>
      <c r="H92" s="136"/>
    </row>
    <row r="93" spans="1:8" s="68" customFormat="1" ht="59.25" customHeight="1">
      <c r="A93" s="134">
        <v>7</v>
      </c>
      <c r="B93" s="365"/>
      <c r="C93" s="135" t="s">
        <v>456</v>
      </c>
      <c r="D93" s="136" t="s">
        <v>457</v>
      </c>
      <c r="E93" s="136">
        <v>1</v>
      </c>
      <c r="F93" s="375"/>
      <c r="G93" s="171">
        <f t="shared" si="1"/>
        <v>0</v>
      </c>
      <c r="H93" s="136"/>
    </row>
    <row r="94" spans="1:8" s="68" customFormat="1" ht="20.25" customHeight="1">
      <c r="A94" s="134">
        <v>8</v>
      </c>
      <c r="B94" s="365"/>
      <c r="C94" s="135" t="s">
        <v>419</v>
      </c>
      <c r="D94" s="136" t="s">
        <v>191</v>
      </c>
      <c r="E94" s="136">
        <v>1</v>
      </c>
      <c r="F94" s="375"/>
      <c r="G94" s="171">
        <f t="shared" si="1"/>
        <v>0</v>
      </c>
      <c r="H94" s="136"/>
    </row>
    <row r="95" spans="1:8" s="68" customFormat="1" ht="20.25" customHeight="1">
      <c r="A95" s="134">
        <v>9</v>
      </c>
      <c r="B95" s="365"/>
      <c r="C95" s="135" t="s">
        <v>420</v>
      </c>
      <c r="D95" s="136" t="s">
        <v>421</v>
      </c>
      <c r="E95" s="136">
        <v>15</v>
      </c>
      <c r="F95" s="375"/>
      <c r="G95" s="171">
        <f t="shared" si="1"/>
        <v>0</v>
      </c>
      <c r="H95" s="136"/>
    </row>
    <row r="96" spans="1:8" s="68" customFormat="1" ht="20.25" customHeight="1">
      <c r="A96" s="134">
        <v>10</v>
      </c>
      <c r="B96" s="365"/>
      <c r="C96" s="135" t="s">
        <v>422</v>
      </c>
      <c r="D96" s="136" t="s">
        <v>421</v>
      </c>
      <c r="E96" s="136">
        <v>15</v>
      </c>
      <c r="F96" s="375"/>
      <c r="G96" s="171">
        <f t="shared" si="1"/>
        <v>0</v>
      </c>
      <c r="H96" s="136"/>
    </row>
    <row r="97" spans="1:8" s="68" customFormat="1" ht="20.25" customHeight="1">
      <c r="A97" s="134">
        <v>11</v>
      </c>
      <c r="B97" s="365"/>
      <c r="C97" s="135" t="s">
        <v>423</v>
      </c>
      <c r="D97" s="136" t="s">
        <v>421</v>
      </c>
      <c r="E97" s="136">
        <v>15</v>
      </c>
      <c r="F97" s="375"/>
      <c r="G97" s="171">
        <f t="shared" si="1"/>
        <v>0</v>
      </c>
      <c r="H97" s="136"/>
    </row>
    <row r="98" spans="1:8" s="68" customFormat="1" ht="18" customHeight="1">
      <c r="A98" s="134">
        <v>12</v>
      </c>
      <c r="B98" s="365"/>
      <c r="C98" s="135" t="s">
        <v>458</v>
      </c>
      <c r="D98" s="136" t="s">
        <v>425</v>
      </c>
      <c r="E98" s="136">
        <v>1</v>
      </c>
      <c r="F98" s="375"/>
      <c r="G98" s="171">
        <f t="shared" si="1"/>
        <v>0</v>
      </c>
      <c r="H98" s="136"/>
    </row>
    <row r="99" spans="1:8" s="68" customFormat="1" ht="19.5" customHeight="1">
      <c r="A99" s="134">
        <v>13</v>
      </c>
      <c r="B99" s="365"/>
      <c r="C99" s="135" t="s">
        <v>426</v>
      </c>
      <c r="D99" s="136" t="s">
        <v>421</v>
      </c>
      <c r="E99" s="136">
        <v>50</v>
      </c>
      <c r="F99" s="375"/>
      <c r="G99" s="171">
        <f t="shared" si="1"/>
        <v>0</v>
      </c>
      <c r="H99" s="136"/>
    </row>
    <row r="100" spans="1:8" s="68" customFormat="1" ht="19.5" customHeight="1">
      <c r="A100" s="134">
        <v>14</v>
      </c>
      <c r="B100" s="365"/>
      <c r="C100" s="135" t="s">
        <v>434</v>
      </c>
      <c r="D100" s="136" t="s">
        <v>421</v>
      </c>
      <c r="E100" s="136">
        <v>10</v>
      </c>
      <c r="F100" s="375"/>
      <c r="G100" s="171">
        <f t="shared" si="1"/>
        <v>0</v>
      </c>
      <c r="H100" s="136"/>
    </row>
    <row r="101" spans="1:8" s="68" customFormat="1" ht="19.5" customHeight="1">
      <c r="A101" s="134">
        <v>15</v>
      </c>
      <c r="B101" s="365"/>
      <c r="C101" s="135" t="s">
        <v>427</v>
      </c>
      <c r="D101" s="136" t="s">
        <v>421</v>
      </c>
      <c r="E101" s="136">
        <v>10</v>
      </c>
      <c r="F101" s="375"/>
      <c r="G101" s="171">
        <f t="shared" si="1"/>
        <v>0</v>
      </c>
      <c r="H101" s="136"/>
    </row>
    <row r="102" spans="1:8" s="68" customFormat="1" ht="35.25" customHeight="1">
      <c r="A102" s="134">
        <v>16</v>
      </c>
      <c r="B102" s="365"/>
      <c r="C102" s="135" t="s">
        <v>459</v>
      </c>
      <c r="D102" s="136" t="s">
        <v>421</v>
      </c>
      <c r="E102" s="136">
        <v>35</v>
      </c>
      <c r="F102" s="375"/>
      <c r="G102" s="171">
        <f t="shared" si="1"/>
        <v>0</v>
      </c>
      <c r="H102" s="136"/>
    </row>
    <row r="103" spans="1:8" s="68" customFormat="1" ht="21.75" customHeight="1">
      <c r="A103" s="134">
        <v>17</v>
      </c>
      <c r="B103" s="365"/>
      <c r="C103" s="135" t="s">
        <v>435</v>
      </c>
      <c r="D103" s="136" t="s">
        <v>421</v>
      </c>
      <c r="E103" s="136">
        <v>8</v>
      </c>
      <c r="F103" s="375"/>
      <c r="G103" s="171">
        <f t="shared" si="1"/>
        <v>0</v>
      </c>
      <c r="H103" s="136"/>
    </row>
    <row r="104" spans="1:8" s="68" customFormat="1" ht="21.75" customHeight="1">
      <c r="A104" s="134">
        <v>18</v>
      </c>
      <c r="B104" s="365"/>
      <c r="C104" s="135" t="s">
        <v>436</v>
      </c>
      <c r="D104" s="136" t="s">
        <v>421</v>
      </c>
      <c r="E104" s="136">
        <v>6</v>
      </c>
      <c r="F104" s="375"/>
      <c r="G104" s="171">
        <f t="shared" si="1"/>
        <v>0</v>
      </c>
      <c r="H104" s="136"/>
    </row>
    <row r="105" spans="1:8" s="68" customFormat="1" ht="33.75" customHeight="1">
      <c r="A105" s="134">
        <v>19</v>
      </c>
      <c r="B105" s="365"/>
      <c r="C105" s="135" t="s">
        <v>428</v>
      </c>
      <c r="D105" s="136" t="s">
        <v>191</v>
      </c>
      <c r="E105" s="136">
        <v>2</v>
      </c>
      <c r="F105" s="375"/>
      <c r="G105" s="171">
        <f t="shared" si="1"/>
        <v>0</v>
      </c>
      <c r="H105" s="136"/>
    </row>
    <row r="106" spans="1:8" s="68" customFormat="1" ht="27.75" customHeight="1">
      <c r="A106" s="134">
        <v>20</v>
      </c>
      <c r="B106" s="365"/>
      <c r="C106" s="135" t="s">
        <v>429</v>
      </c>
      <c r="D106" s="136" t="s">
        <v>421</v>
      </c>
      <c r="E106" s="136">
        <v>30</v>
      </c>
      <c r="F106" s="375"/>
      <c r="G106" s="171">
        <f t="shared" si="1"/>
        <v>0</v>
      </c>
      <c r="H106" s="136"/>
    </row>
    <row r="107" spans="1:8" s="68" customFormat="1" ht="32.25" customHeight="1">
      <c r="A107" s="134">
        <v>21</v>
      </c>
      <c r="B107" s="365"/>
      <c r="C107" s="135" t="s">
        <v>430</v>
      </c>
      <c r="D107" s="136" t="s">
        <v>431</v>
      </c>
      <c r="E107" s="136">
        <v>2</v>
      </c>
      <c r="F107" s="375"/>
      <c r="G107" s="171">
        <f t="shared" si="1"/>
        <v>0</v>
      </c>
      <c r="H107" s="136"/>
    </row>
    <row r="108" spans="1:8" s="68" customFormat="1" ht="21.75" customHeight="1">
      <c r="A108" s="134">
        <v>22</v>
      </c>
      <c r="B108" s="365"/>
      <c r="C108" s="135" t="s">
        <v>432</v>
      </c>
      <c r="D108" s="136" t="s">
        <v>433</v>
      </c>
      <c r="E108" s="136">
        <v>24</v>
      </c>
      <c r="F108" s="375"/>
      <c r="G108" s="171">
        <f t="shared" si="1"/>
        <v>0</v>
      </c>
      <c r="H108" s="136"/>
    </row>
    <row r="109" spans="1:8" ht="114">
      <c r="A109" s="134">
        <v>23</v>
      </c>
      <c r="B109" s="365"/>
      <c r="C109" s="135" t="s">
        <v>460</v>
      </c>
      <c r="D109" s="136" t="s">
        <v>457</v>
      </c>
      <c r="E109" s="136">
        <v>1</v>
      </c>
      <c r="F109" s="375"/>
      <c r="G109" s="171">
        <f t="shared" si="1"/>
        <v>0</v>
      </c>
      <c r="H109" s="136"/>
    </row>
    <row r="110" spans="5:8" s="29" customFormat="1" ht="15">
      <c r="E110" s="57"/>
      <c r="F110" s="58" t="s">
        <v>364</v>
      </c>
      <c r="G110" s="59">
        <f>SUM(G87:G109)</f>
        <v>0</v>
      </c>
      <c r="H110" s="7"/>
    </row>
    <row r="111" spans="5:8" s="29" customFormat="1" ht="15">
      <c r="E111" s="484" t="s">
        <v>206</v>
      </c>
      <c r="F111" s="484"/>
      <c r="G111" s="59">
        <f>G110*0.2</f>
        <v>0</v>
      </c>
      <c r="H111" s="7"/>
    </row>
    <row r="112" spans="3:8" s="29" customFormat="1" ht="15">
      <c r="C112" s="26"/>
      <c r="E112" s="57"/>
      <c r="F112" s="60" t="s">
        <v>365</v>
      </c>
      <c r="G112" s="59">
        <f>G110+G111</f>
        <v>0</v>
      </c>
      <c r="H112" s="7"/>
    </row>
    <row r="113" spans="3:16" s="29" customFormat="1" ht="14.25">
      <c r="C113" s="61"/>
      <c r="D113" s="62"/>
      <c r="E113" s="62"/>
      <c r="H113" s="7"/>
      <c r="O113" s="3"/>
      <c r="P113" s="6"/>
    </row>
    <row r="114" spans="2:16" s="29" customFormat="1" ht="18.75">
      <c r="B114" s="63" t="s">
        <v>370</v>
      </c>
      <c r="C114" s="64" t="s">
        <v>371</v>
      </c>
      <c r="D114" s="62"/>
      <c r="E114" s="62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8:16" s="29" customFormat="1" ht="14.25"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8:16" s="29" customFormat="1" ht="15" customHeight="1"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8:16" s="29" customFormat="1" ht="14.25"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7" s="67" customFormat="1" ht="15">
      <c r="A118" s="187" t="s">
        <v>373</v>
      </c>
      <c r="B118" s="2"/>
      <c r="C118" s="65"/>
      <c r="D118" s="66" t="s">
        <v>374</v>
      </c>
      <c r="E118" s="24"/>
      <c r="G118" s="253"/>
    </row>
    <row r="119" spans="1:7" s="67" customFormat="1" ht="12.75">
      <c r="A119" s="2"/>
      <c r="B119" s="2"/>
      <c r="C119" s="11"/>
      <c r="D119" s="2"/>
      <c r="E119" s="24"/>
      <c r="G119" s="253"/>
    </row>
    <row r="120" spans="1:7" s="67" customFormat="1" ht="14.25">
      <c r="A120" s="2"/>
      <c r="B120" s="2"/>
      <c r="C120" s="68"/>
      <c r="D120" s="69" t="s">
        <v>375</v>
      </c>
      <c r="E120" s="24"/>
      <c r="G120" s="253"/>
    </row>
    <row r="121" spans="1:7" s="67" customFormat="1" ht="12.75">
      <c r="A121" s="2"/>
      <c r="B121" s="2"/>
      <c r="C121" s="11"/>
      <c r="D121" s="2"/>
      <c r="E121" s="70" t="s">
        <v>376</v>
      </c>
      <c r="G121" s="253"/>
    </row>
    <row r="122" spans="1:7" s="67" customFormat="1" ht="14.25">
      <c r="A122" s="2"/>
      <c r="B122" s="2"/>
      <c r="C122" s="68"/>
      <c r="D122" s="69" t="s">
        <v>377</v>
      </c>
      <c r="E122" s="24"/>
      <c r="G122" s="253"/>
    </row>
    <row r="123" spans="1:7" s="67" customFormat="1" ht="12.75">
      <c r="A123" s="2"/>
      <c r="B123" s="2"/>
      <c r="C123" s="11"/>
      <c r="D123" s="71" t="s">
        <v>378</v>
      </c>
      <c r="E123" s="24"/>
      <c r="G123" s="253"/>
    </row>
    <row r="125" spans="1:7" ht="15">
      <c r="A125" s="463"/>
      <c r="B125" s="447" t="s">
        <v>560</v>
      </c>
      <c r="C125" s="474" t="s">
        <v>380</v>
      </c>
      <c r="D125" s="474"/>
      <c r="E125" s="474"/>
      <c r="F125" s="474"/>
      <c r="G125" s="474"/>
    </row>
    <row r="126" spans="1:7" ht="15">
      <c r="A126" s="464"/>
      <c r="B126" s="447" t="s">
        <v>561</v>
      </c>
      <c r="C126" s="203" t="s">
        <v>564</v>
      </c>
      <c r="E126" s="141"/>
      <c r="F126" s="445"/>
      <c r="G126" s="141"/>
    </row>
    <row r="127" spans="1:7" ht="30.75" customHeight="1">
      <c r="A127" s="463"/>
      <c r="B127" s="448" t="s">
        <v>558</v>
      </c>
      <c r="C127" s="479"/>
      <c r="D127" s="479"/>
      <c r="E127" s="479"/>
      <c r="F127" s="479"/>
      <c r="G127" s="479"/>
    </row>
    <row r="128" spans="1:7" ht="18" customHeight="1">
      <c r="A128" s="471" t="s">
        <v>559</v>
      </c>
      <c r="B128" s="471"/>
      <c r="C128" s="474"/>
      <c r="D128" s="474"/>
      <c r="E128" s="474"/>
      <c r="F128" s="474"/>
      <c r="G128" s="474"/>
    </row>
    <row r="129" spans="1:9" s="137" customFormat="1" ht="15" customHeight="1">
      <c r="A129" s="183"/>
      <c r="B129" s="465" t="s">
        <v>18</v>
      </c>
      <c r="C129" s="35" t="s">
        <v>506</v>
      </c>
      <c r="D129" s="35"/>
      <c r="E129" s="35"/>
      <c r="F129" s="211"/>
      <c r="G129" s="211"/>
      <c r="H129" s="35"/>
      <c r="I129" s="35"/>
    </row>
    <row r="130" spans="1:8" s="137" customFormat="1" ht="15">
      <c r="A130" s="183"/>
      <c r="B130" s="466" t="s">
        <v>440</v>
      </c>
      <c r="C130" s="168" t="s">
        <v>510</v>
      </c>
      <c r="D130" s="166"/>
      <c r="E130" s="138"/>
      <c r="F130" s="138"/>
      <c r="G130" s="138"/>
      <c r="H130" s="138"/>
    </row>
    <row r="131" spans="1:8" s="137" customFormat="1" ht="15">
      <c r="A131" s="139"/>
      <c r="B131" s="139"/>
      <c r="C131" s="518"/>
      <c r="D131" s="518"/>
      <c r="E131" s="518"/>
      <c r="F131" s="518"/>
      <c r="G131" s="518"/>
      <c r="H131" s="518"/>
    </row>
    <row r="132" spans="1:7" s="213" customFormat="1" ht="20.25">
      <c r="A132" s="516" t="s">
        <v>513</v>
      </c>
      <c r="B132" s="516"/>
      <c r="C132" s="516"/>
      <c r="D132" s="516"/>
      <c r="E132" s="516"/>
      <c r="F132" s="169" t="s">
        <v>509</v>
      </c>
      <c r="G132" s="163"/>
    </row>
    <row r="133" spans="1:8" s="29" customFormat="1" ht="15.75" customHeight="1" thickBot="1">
      <c r="A133" s="488"/>
      <c r="B133" s="488"/>
      <c r="C133" s="488"/>
      <c r="D133" s="488"/>
      <c r="E133" s="488"/>
      <c r="F133" s="118"/>
      <c r="G133" s="252" t="s">
        <v>367</v>
      </c>
      <c r="H133" s="26"/>
    </row>
    <row r="134" spans="1:8" s="29" customFormat="1" ht="15.75" customHeight="1" thickBot="1">
      <c r="A134" s="493" t="s">
        <v>372</v>
      </c>
      <c r="B134" s="490" t="s">
        <v>363</v>
      </c>
      <c r="C134" s="490" t="s">
        <v>369</v>
      </c>
      <c r="D134" s="493" t="s">
        <v>189</v>
      </c>
      <c r="E134" s="493" t="s">
        <v>366</v>
      </c>
      <c r="F134" s="511" t="s">
        <v>203</v>
      </c>
      <c r="G134" s="511" t="s">
        <v>368</v>
      </c>
      <c r="H134" s="40"/>
    </row>
    <row r="135" spans="1:8" s="29" customFormat="1" ht="29.25" customHeight="1" thickBot="1">
      <c r="A135" s="494"/>
      <c r="B135" s="490"/>
      <c r="C135" s="490"/>
      <c r="D135" s="494"/>
      <c r="E135" s="494"/>
      <c r="F135" s="512"/>
      <c r="G135" s="512"/>
      <c r="H135" s="140"/>
    </row>
    <row r="136" spans="1:8" s="29" customFormat="1" ht="15" thickBot="1">
      <c r="A136" s="41">
        <v>1</v>
      </c>
      <c r="B136" s="41">
        <v>2</v>
      </c>
      <c r="C136" s="41">
        <v>3</v>
      </c>
      <c r="D136" s="41">
        <v>4</v>
      </c>
      <c r="E136" s="41">
        <v>5</v>
      </c>
      <c r="F136" s="41">
        <v>6</v>
      </c>
      <c r="G136" s="41">
        <v>7</v>
      </c>
      <c r="H136" s="42"/>
    </row>
    <row r="137" spans="1:7" s="62" customFormat="1" ht="15">
      <c r="A137" s="214" t="s">
        <v>396</v>
      </c>
      <c r="B137" s="214"/>
      <c r="C137" s="346" t="s">
        <v>461</v>
      </c>
      <c r="D137" s="347"/>
      <c r="E137" s="348"/>
      <c r="F137" s="349"/>
      <c r="G137" s="350"/>
    </row>
    <row r="138" spans="1:7" s="62" customFormat="1" ht="28.5">
      <c r="A138" s="216">
        <v>1</v>
      </c>
      <c r="B138" s="376"/>
      <c r="C138" s="80" t="s">
        <v>462</v>
      </c>
      <c r="D138" s="74" t="s">
        <v>463</v>
      </c>
      <c r="E138" s="217">
        <v>73</v>
      </c>
      <c r="F138" s="377"/>
      <c r="G138" s="52">
        <f>E138*F138</f>
        <v>0</v>
      </c>
    </row>
    <row r="139" spans="1:7" s="62" customFormat="1" ht="16.5">
      <c r="A139" s="216">
        <v>2</v>
      </c>
      <c r="B139" s="376"/>
      <c r="C139" s="80" t="s">
        <v>464</v>
      </c>
      <c r="D139" s="74" t="s">
        <v>463</v>
      </c>
      <c r="E139" s="217">
        <v>73</v>
      </c>
      <c r="F139" s="377"/>
      <c r="G139" s="52">
        <f>E139*F139</f>
        <v>0</v>
      </c>
    </row>
    <row r="140" spans="1:7" s="62" customFormat="1" ht="15">
      <c r="A140" s="218" t="s">
        <v>397</v>
      </c>
      <c r="B140" s="218"/>
      <c r="C140" s="305" t="s">
        <v>465</v>
      </c>
      <c r="D140" s="306"/>
      <c r="E140" s="307"/>
      <c r="F140" s="341"/>
      <c r="G140" s="343"/>
    </row>
    <row r="141" spans="1:7" s="33" customFormat="1" ht="17.25">
      <c r="A141" s="218">
        <v>1</v>
      </c>
      <c r="B141" s="218"/>
      <c r="C141" s="219" t="s">
        <v>466</v>
      </c>
      <c r="D141" s="214" t="s">
        <v>467</v>
      </c>
      <c r="E141" s="220">
        <v>126</v>
      </c>
      <c r="F141" s="344"/>
      <c r="G141" s="345"/>
    </row>
    <row r="142" spans="1:7" s="62" customFormat="1" ht="28.5">
      <c r="A142" s="315" t="s">
        <v>550</v>
      </c>
      <c r="B142" s="376"/>
      <c r="C142" s="221" t="s">
        <v>468</v>
      </c>
      <c r="D142" s="216" t="s">
        <v>469</v>
      </c>
      <c r="E142" s="222">
        <f>0.5*E141</f>
        <v>63</v>
      </c>
      <c r="F142" s="377"/>
      <c r="G142" s="52">
        <f aca="true" t="shared" si="2" ref="G142:G147">E142*F142</f>
        <v>0</v>
      </c>
    </row>
    <row r="143" spans="1:7" s="62" customFormat="1" ht="16.5">
      <c r="A143" s="315" t="s">
        <v>551</v>
      </c>
      <c r="B143" s="376"/>
      <c r="C143" s="221" t="s">
        <v>470</v>
      </c>
      <c r="D143" s="216" t="s">
        <v>469</v>
      </c>
      <c r="E143" s="222">
        <f>E141*0.04</f>
        <v>5.04</v>
      </c>
      <c r="F143" s="377"/>
      <c r="G143" s="52">
        <f t="shared" si="2"/>
        <v>0</v>
      </c>
    </row>
    <row r="144" spans="1:7" s="62" customFormat="1" ht="16.5">
      <c r="A144" s="315" t="s">
        <v>552</v>
      </c>
      <c r="B144" s="376"/>
      <c r="C144" s="221" t="s">
        <v>471</v>
      </c>
      <c r="D144" s="223" t="s">
        <v>472</v>
      </c>
      <c r="E144" s="222">
        <f>E141</f>
        <v>126</v>
      </c>
      <c r="F144" s="377"/>
      <c r="G144" s="52">
        <f t="shared" si="2"/>
        <v>0</v>
      </c>
    </row>
    <row r="145" spans="1:7" s="33" customFormat="1" ht="15">
      <c r="A145" s="218">
        <v>2</v>
      </c>
      <c r="B145" s="218"/>
      <c r="C145" s="219" t="s">
        <v>473</v>
      </c>
      <c r="D145" s="214" t="s">
        <v>421</v>
      </c>
      <c r="E145" s="224">
        <v>66</v>
      </c>
      <c r="F145" s="351"/>
      <c r="G145" s="352"/>
    </row>
    <row r="146" spans="1:7" s="62" customFormat="1" ht="16.5">
      <c r="A146" s="315" t="s">
        <v>553</v>
      </c>
      <c r="B146" s="376"/>
      <c r="C146" s="221" t="s">
        <v>474</v>
      </c>
      <c r="D146" s="216" t="s">
        <v>469</v>
      </c>
      <c r="E146" s="217">
        <f>E145*0.1</f>
        <v>6.6000000000000005</v>
      </c>
      <c r="F146" s="377"/>
      <c r="G146" s="52">
        <f t="shared" si="2"/>
        <v>0</v>
      </c>
    </row>
    <row r="147" spans="1:7" s="62" customFormat="1" ht="14.25">
      <c r="A147" s="315" t="s">
        <v>554</v>
      </c>
      <c r="B147" s="376"/>
      <c r="C147" s="221" t="s">
        <v>475</v>
      </c>
      <c r="D147" s="216" t="s">
        <v>421</v>
      </c>
      <c r="E147" s="217">
        <f>E145</f>
        <v>66</v>
      </c>
      <c r="F147" s="377"/>
      <c r="G147" s="52">
        <f t="shared" si="2"/>
        <v>0</v>
      </c>
    </row>
    <row r="148" spans="5:8" s="29" customFormat="1" ht="15">
      <c r="E148" s="57"/>
      <c r="F148" s="58" t="s">
        <v>364</v>
      </c>
      <c r="G148" s="59">
        <f>SUM(G138:G147)</f>
        <v>0</v>
      </c>
      <c r="H148" s="7"/>
    </row>
    <row r="149" spans="5:8" s="29" customFormat="1" ht="15">
      <c r="E149" s="484" t="s">
        <v>206</v>
      </c>
      <c r="F149" s="484"/>
      <c r="G149" s="59">
        <f>G148*0.2</f>
        <v>0</v>
      </c>
      <c r="H149" s="7"/>
    </row>
    <row r="150" spans="3:8" s="29" customFormat="1" ht="15">
      <c r="C150" s="26"/>
      <c r="E150" s="57"/>
      <c r="F150" s="60" t="s">
        <v>365</v>
      </c>
      <c r="G150" s="59">
        <f>G148+G149</f>
        <v>0</v>
      </c>
      <c r="H150" s="7"/>
    </row>
    <row r="151" spans="3:16" s="29" customFormat="1" ht="14.25">
      <c r="C151" s="61"/>
      <c r="D151" s="62"/>
      <c r="E151" s="62"/>
      <c r="H151" s="7"/>
      <c r="O151" s="3"/>
      <c r="P151" s="6"/>
    </row>
    <row r="152" spans="2:16" s="29" customFormat="1" ht="18.75">
      <c r="B152" s="63" t="s">
        <v>370</v>
      </c>
      <c r="C152" s="64" t="s">
        <v>371</v>
      </c>
      <c r="D152" s="62"/>
      <c r="E152" s="62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8:16" s="29" customFormat="1" ht="14.25"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8:16" s="29" customFormat="1" ht="15" customHeight="1"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8:16" s="29" customFormat="1" ht="14.25"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7" s="67" customFormat="1" ht="15">
      <c r="A156" s="187" t="s">
        <v>373</v>
      </c>
      <c r="B156" s="2"/>
      <c r="C156" s="65"/>
      <c r="D156" s="66" t="s">
        <v>374</v>
      </c>
      <c r="E156" s="24"/>
      <c r="G156" s="253"/>
    </row>
    <row r="157" spans="1:7" s="67" customFormat="1" ht="12.75">
      <c r="A157" s="2"/>
      <c r="B157" s="2"/>
      <c r="C157" s="11"/>
      <c r="D157" s="2"/>
      <c r="E157" s="24"/>
      <c r="G157" s="253"/>
    </row>
    <row r="158" spans="1:7" s="67" customFormat="1" ht="14.25">
      <c r="A158" s="2"/>
      <c r="B158" s="2"/>
      <c r="C158" s="68"/>
      <c r="D158" s="69" t="s">
        <v>375</v>
      </c>
      <c r="E158" s="24"/>
      <c r="G158" s="253"/>
    </row>
    <row r="159" spans="1:7" s="67" customFormat="1" ht="12.75">
      <c r="A159" s="2"/>
      <c r="B159" s="2"/>
      <c r="C159" s="11"/>
      <c r="D159" s="2"/>
      <c r="E159" s="70" t="s">
        <v>376</v>
      </c>
      <c r="G159" s="253"/>
    </row>
    <row r="160" spans="1:7" s="67" customFormat="1" ht="14.25">
      <c r="A160" s="2"/>
      <c r="B160" s="2"/>
      <c r="C160" s="68"/>
      <c r="D160" s="69" t="s">
        <v>377</v>
      </c>
      <c r="E160" s="24"/>
      <c r="G160" s="253"/>
    </row>
    <row r="161" spans="1:7" s="67" customFormat="1" ht="12.75">
      <c r="A161" s="2"/>
      <c r="B161" s="2"/>
      <c r="C161" s="11"/>
      <c r="D161" s="71" t="s">
        <v>378</v>
      </c>
      <c r="E161" s="24"/>
      <c r="G161" s="253"/>
    </row>
    <row r="172" spans="1:7" ht="15">
      <c r="A172" s="463"/>
      <c r="B172" s="447" t="s">
        <v>560</v>
      </c>
      <c r="C172" s="474" t="s">
        <v>380</v>
      </c>
      <c r="D172" s="474"/>
      <c r="E172" s="474"/>
      <c r="F172" s="474"/>
      <c r="G172" s="474"/>
    </row>
    <row r="173" spans="1:7" ht="15">
      <c r="A173" s="464"/>
      <c r="B173" s="447" t="s">
        <v>561</v>
      </c>
      <c r="C173" s="203" t="s">
        <v>564</v>
      </c>
      <c r="E173" s="141"/>
      <c r="F173" s="445"/>
      <c r="G173" s="141"/>
    </row>
    <row r="174" spans="1:7" ht="30.75" customHeight="1">
      <c r="A174" s="463"/>
      <c r="B174" s="448" t="s">
        <v>558</v>
      </c>
      <c r="C174" s="479"/>
      <c r="D174" s="479"/>
      <c r="E174" s="479"/>
      <c r="F174" s="479"/>
      <c r="G174" s="479"/>
    </row>
    <row r="175" spans="1:7" ht="18" customHeight="1">
      <c r="A175" s="471" t="s">
        <v>559</v>
      </c>
      <c r="B175" s="471"/>
      <c r="C175" s="474"/>
      <c r="D175" s="474"/>
      <c r="E175" s="474"/>
      <c r="F175" s="474"/>
      <c r="G175" s="474"/>
    </row>
    <row r="176" spans="1:9" s="137" customFormat="1" ht="15" customHeight="1">
      <c r="A176" s="183"/>
      <c r="B176" s="465" t="s">
        <v>18</v>
      </c>
      <c r="C176" s="35" t="s">
        <v>506</v>
      </c>
      <c r="D176" s="35"/>
      <c r="E176" s="35"/>
      <c r="F176" s="211"/>
      <c r="G176" s="211"/>
      <c r="H176" s="35"/>
      <c r="I176" s="35"/>
    </row>
    <row r="177" spans="1:8" s="137" customFormat="1" ht="15">
      <c r="A177" s="183"/>
      <c r="B177" s="466" t="s">
        <v>440</v>
      </c>
      <c r="C177" s="168" t="s">
        <v>511</v>
      </c>
      <c r="D177" s="166"/>
      <c r="E177" s="138"/>
      <c r="F177" s="138"/>
      <c r="G177" s="138"/>
      <c r="H177" s="138"/>
    </row>
    <row r="178" spans="1:8" s="137" customFormat="1" ht="15">
      <c r="A178" s="139"/>
      <c r="B178" s="139"/>
      <c r="C178" s="518"/>
      <c r="D178" s="518"/>
      <c r="E178" s="518"/>
      <c r="F178" s="518"/>
      <c r="G178" s="518"/>
      <c r="H178" s="518"/>
    </row>
    <row r="179" spans="1:7" s="213" customFormat="1" ht="20.25">
      <c r="A179" s="516" t="s">
        <v>513</v>
      </c>
      <c r="B179" s="516"/>
      <c r="C179" s="516"/>
      <c r="D179" s="516"/>
      <c r="E179" s="516"/>
      <c r="F179" s="169" t="s">
        <v>517</v>
      </c>
      <c r="G179" s="163"/>
    </row>
    <row r="180" spans="1:8" s="29" customFormat="1" ht="15.75" customHeight="1" thickBot="1">
      <c r="A180" s="488"/>
      <c r="B180" s="488"/>
      <c r="C180" s="488"/>
      <c r="D180" s="488"/>
      <c r="E180" s="488"/>
      <c r="F180" s="118"/>
      <c r="G180" s="252" t="s">
        <v>367</v>
      </c>
      <c r="H180" s="26"/>
    </row>
    <row r="181" spans="1:8" s="29" customFormat="1" ht="15.75" customHeight="1" thickBot="1">
      <c r="A181" s="493" t="s">
        <v>372</v>
      </c>
      <c r="B181" s="490" t="s">
        <v>363</v>
      </c>
      <c r="C181" s="490" t="s">
        <v>369</v>
      </c>
      <c r="D181" s="493" t="s">
        <v>189</v>
      </c>
      <c r="E181" s="493" t="s">
        <v>366</v>
      </c>
      <c r="F181" s="511" t="s">
        <v>203</v>
      </c>
      <c r="G181" s="511" t="s">
        <v>368</v>
      </c>
      <c r="H181" s="40"/>
    </row>
    <row r="182" spans="1:8" s="29" customFormat="1" ht="29.25" customHeight="1" thickBot="1">
      <c r="A182" s="494"/>
      <c r="B182" s="490"/>
      <c r="C182" s="490"/>
      <c r="D182" s="494"/>
      <c r="E182" s="494"/>
      <c r="F182" s="512"/>
      <c r="G182" s="512"/>
      <c r="H182" s="140"/>
    </row>
    <row r="183" spans="1:8" s="29" customFormat="1" ht="15" thickBot="1">
      <c r="A183" s="41">
        <v>1</v>
      </c>
      <c r="B183" s="41">
        <v>2</v>
      </c>
      <c r="C183" s="41">
        <v>3</v>
      </c>
      <c r="D183" s="41">
        <v>4</v>
      </c>
      <c r="E183" s="41">
        <v>5</v>
      </c>
      <c r="F183" s="41">
        <v>6</v>
      </c>
      <c r="G183" s="41">
        <v>7</v>
      </c>
      <c r="H183" s="42"/>
    </row>
    <row r="184" spans="1:8" ht="16.5">
      <c r="A184" s="129">
        <v>1</v>
      </c>
      <c r="B184" s="356"/>
      <c r="C184" s="44" t="s">
        <v>476</v>
      </c>
      <c r="D184" s="130" t="s">
        <v>385</v>
      </c>
      <c r="E184" s="131">
        <v>121.5</v>
      </c>
      <c r="F184" s="379"/>
      <c r="G184" s="132">
        <f>E184*F184</f>
        <v>0</v>
      </c>
      <c r="H184" s="132"/>
    </row>
    <row r="185" spans="1:8" ht="28.5">
      <c r="A185" s="129">
        <v>2</v>
      </c>
      <c r="B185" s="378"/>
      <c r="C185" s="80" t="s">
        <v>477</v>
      </c>
      <c r="D185" s="130" t="s">
        <v>385</v>
      </c>
      <c r="E185" s="131">
        <v>121.5</v>
      </c>
      <c r="F185" s="379"/>
      <c r="G185" s="132">
        <f aca="true" t="shared" si="3" ref="G185:G197">E185*F185</f>
        <v>0</v>
      </c>
      <c r="H185" s="132"/>
    </row>
    <row r="186" spans="1:8" ht="16.5">
      <c r="A186" s="48">
        <v>3</v>
      </c>
      <c r="B186" s="357"/>
      <c r="C186" s="201" t="s">
        <v>406</v>
      </c>
      <c r="D186" s="130" t="s">
        <v>385</v>
      </c>
      <c r="E186" s="131">
        <v>107</v>
      </c>
      <c r="F186" s="379"/>
      <c r="G186" s="132">
        <f t="shared" si="3"/>
        <v>0</v>
      </c>
      <c r="H186" s="132"/>
    </row>
    <row r="187" spans="1:8" ht="16.5">
      <c r="A187" s="48">
        <v>4</v>
      </c>
      <c r="B187" s="357"/>
      <c r="C187" s="201" t="s">
        <v>408</v>
      </c>
      <c r="D187" s="130" t="s">
        <v>386</v>
      </c>
      <c r="E187" s="131">
        <v>147.5</v>
      </c>
      <c r="F187" s="379"/>
      <c r="G187" s="132">
        <f t="shared" si="3"/>
        <v>0</v>
      </c>
      <c r="H187" s="132"/>
    </row>
    <row r="188" spans="1:8" ht="14.25">
      <c r="A188" s="48">
        <v>5</v>
      </c>
      <c r="B188" s="357"/>
      <c r="C188" s="201" t="s">
        <v>409</v>
      </c>
      <c r="D188" s="130" t="s">
        <v>251</v>
      </c>
      <c r="E188" s="131">
        <v>159.66</v>
      </c>
      <c r="F188" s="379"/>
      <c r="G188" s="132">
        <f t="shared" si="3"/>
        <v>0</v>
      </c>
      <c r="H188" s="132"/>
    </row>
    <row r="189" spans="1:8" ht="16.5">
      <c r="A189" s="48">
        <v>6</v>
      </c>
      <c r="B189" s="357"/>
      <c r="C189" s="201" t="s">
        <v>410</v>
      </c>
      <c r="D189" s="130" t="s">
        <v>385</v>
      </c>
      <c r="E189" s="131">
        <v>2.5</v>
      </c>
      <c r="F189" s="379"/>
      <c r="G189" s="132">
        <f t="shared" si="3"/>
        <v>0</v>
      </c>
      <c r="H189" s="132"/>
    </row>
    <row r="190" spans="1:8" ht="16.5">
      <c r="A190" s="48">
        <v>7</v>
      </c>
      <c r="B190" s="357"/>
      <c r="C190" s="201" t="s">
        <v>478</v>
      </c>
      <c r="D190" s="130" t="s">
        <v>385</v>
      </c>
      <c r="E190" s="131">
        <v>12</v>
      </c>
      <c r="F190" s="379"/>
      <c r="G190" s="132">
        <f t="shared" si="3"/>
        <v>0</v>
      </c>
      <c r="H190" s="132"/>
    </row>
    <row r="191" spans="1:8" ht="28.5">
      <c r="A191" s="48">
        <v>8</v>
      </c>
      <c r="B191" s="357"/>
      <c r="C191" s="201" t="s">
        <v>479</v>
      </c>
      <c r="D191" s="130" t="s">
        <v>251</v>
      </c>
      <c r="E191" s="131">
        <v>596.25</v>
      </c>
      <c r="F191" s="379"/>
      <c r="G191" s="132">
        <f t="shared" si="3"/>
        <v>0</v>
      </c>
      <c r="H191" s="132"/>
    </row>
    <row r="192" spans="1:8" ht="14.25">
      <c r="A192" s="48">
        <v>9</v>
      </c>
      <c r="B192" s="357"/>
      <c r="C192" s="201" t="s">
        <v>480</v>
      </c>
      <c r="D192" s="130" t="s">
        <v>190</v>
      </c>
      <c r="E192" s="131">
        <v>142</v>
      </c>
      <c r="F192" s="379"/>
      <c r="G192" s="132">
        <f t="shared" si="3"/>
        <v>0</v>
      </c>
      <c r="H192" s="132"/>
    </row>
    <row r="193" spans="1:8" ht="14.25">
      <c r="A193" s="48">
        <v>10</v>
      </c>
      <c r="B193" s="357"/>
      <c r="C193" s="201" t="s">
        <v>481</v>
      </c>
      <c r="D193" s="130" t="s">
        <v>251</v>
      </c>
      <c r="E193" s="131">
        <v>86.76</v>
      </c>
      <c r="F193" s="379"/>
      <c r="G193" s="132">
        <f t="shared" si="3"/>
        <v>0</v>
      </c>
      <c r="H193" s="132"/>
    </row>
    <row r="194" spans="1:8" ht="14.25">
      <c r="A194" s="48">
        <v>11</v>
      </c>
      <c r="B194" s="357"/>
      <c r="C194" s="201" t="s">
        <v>482</v>
      </c>
      <c r="D194" s="130" t="s">
        <v>251</v>
      </c>
      <c r="E194" s="131">
        <v>3.8</v>
      </c>
      <c r="F194" s="379"/>
      <c r="G194" s="132">
        <f t="shared" si="3"/>
        <v>0</v>
      </c>
      <c r="H194" s="132"/>
    </row>
    <row r="195" spans="1:8" ht="14.25">
      <c r="A195" s="48">
        <v>12</v>
      </c>
      <c r="B195" s="357"/>
      <c r="C195" s="201" t="s">
        <v>483</v>
      </c>
      <c r="D195" s="130" t="s">
        <v>190</v>
      </c>
      <c r="E195" s="131">
        <v>552</v>
      </c>
      <c r="F195" s="379"/>
      <c r="G195" s="132">
        <f t="shared" si="3"/>
        <v>0</v>
      </c>
      <c r="H195" s="132"/>
    </row>
    <row r="196" spans="1:8" ht="14.25">
      <c r="A196" s="48">
        <v>13</v>
      </c>
      <c r="B196" s="357"/>
      <c r="C196" s="201" t="s">
        <v>484</v>
      </c>
      <c r="D196" s="130" t="s">
        <v>190</v>
      </c>
      <c r="E196" s="131">
        <v>414</v>
      </c>
      <c r="F196" s="379"/>
      <c r="G196" s="132">
        <f t="shared" si="3"/>
        <v>0</v>
      </c>
      <c r="H196" s="132"/>
    </row>
    <row r="197" spans="1:8" ht="14.25">
      <c r="A197" s="48">
        <v>14</v>
      </c>
      <c r="B197" s="357"/>
      <c r="C197" s="201" t="s">
        <v>485</v>
      </c>
      <c r="D197" s="130" t="s">
        <v>191</v>
      </c>
      <c r="E197" s="131">
        <v>4</v>
      </c>
      <c r="F197" s="379"/>
      <c r="G197" s="132">
        <f t="shared" si="3"/>
        <v>0</v>
      </c>
      <c r="H197" s="132"/>
    </row>
    <row r="198" spans="5:8" s="29" customFormat="1" ht="15">
      <c r="E198" s="57"/>
      <c r="F198" s="58" t="s">
        <v>364</v>
      </c>
      <c r="G198" s="59">
        <f>SUM(G184:G197)</f>
        <v>0</v>
      </c>
      <c r="H198" s="7"/>
    </row>
    <row r="199" spans="5:8" s="29" customFormat="1" ht="15">
      <c r="E199" s="484" t="s">
        <v>206</v>
      </c>
      <c r="F199" s="484"/>
      <c r="G199" s="59">
        <f>G198*0.2</f>
        <v>0</v>
      </c>
      <c r="H199" s="7"/>
    </row>
    <row r="200" spans="3:8" s="29" customFormat="1" ht="15">
      <c r="C200" s="26"/>
      <c r="E200" s="57"/>
      <c r="F200" s="60" t="s">
        <v>365</v>
      </c>
      <c r="G200" s="59">
        <f>G198+G199</f>
        <v>0</v>
      </c>
      <c r="H200" s="7"/>
    </row>
    <row r="201" spans="3:16" s="29" customFormat="1" ht="14.25">
      <c r="C201" s="61"/>
      <c r="D201" s="62"/>
      <c r="E201" s="62"/>
      <c r="H201" s="7"/>
      <c r="O201" s="3"/>
      <c r="P201" s="6"/>
    </row>
    <row r="202" spans="2:16" s="29" customFormat="1" ht="18.75">
      <c r="B202" s="63" t="s">
        <v>370</v>
      </c>
      <c r="C202" s="64" t="s">
        <v>371</v>
      </c>
      <c r="D202" s="62"/>
      <c r="E202" s="62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8:16" s="29" customFormat="1" ht="14.25"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8:16" s="29" customFormat="1" ht="15" customHeight="1"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8:16" s="29" customFormat="1" ht="14.25"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7" s="67" customFormat="1" ht="15">
      <c r="A206" s="187" t="s">
        <v>373</v>
      </c>
      <c r="B206" s="2"/>
      <c r="C206" s="65"/>
      <c r="D206" s="66" t="s">
        <v>374</v>
      </c>
      <c r="E206" s="24"/>
      <c r="G206" s="253"/>
    </row>
    <row r="207" spans="1:7" s="67" customFormat="1" ht="12.75">
      <c r="A207" s="2"/>
      <c r="B207" s="2"/>
      <c r="C207" s="11"/>
      <c r="D207" s="2"/>
      <c r="E207" s="24"/>
      <c r="G207" s="253"/>
    </row>
    <row r="208" spans="1:7" s="67" customFormat="1" ht="14.25">
      <c r="A208" s="2"/>
      <c r="B208" s="2"/>
      <c r="C208" s="68"/>
      <c r="D208" s="69" t="s">
        <v>375</v>
      </c>
      <c r="E208" s="24"/>
      <c r="G208" s="253"/>
    </row>
    <row r="209" spans="1:7" s="67" customFormat="1" ht="12.75">
      <c r="A209" s="2"/>
      <c r="B209" s="2"/>
      <c r="C209" s="11"/>
      <c r="D209" s="2"/>
      <c r="E209" s="70" t="s">
        <v>376</v>
      </c>
      <c r="G209" s="253"/>
    </row>
    <row r="210" spans="1:7" s="67" customFormat="1" ht="14.25">
      <c r="A210" s="2"/>
      <c r="B210" s="2"/>
      <c r="C210" s="68"/>
      <c r="D210" s="69" t="s">
        <v>377</v>
      </c>
      <c r="E210" s="24"/>
      <c r="G210" s="253"/>
    </row>
    <row r="211" spans="1:7" s="67" customFormat="1" ht="12.75">
      <c r="A211" s="2"/>
      <c r="B211" s="2"/>
      <c r="C211" s="11"/>
      <c r="D211" s="71" t="s">
        <v>378</v>
      </c>
      <c r="E211" s="24"/>
      <c r="G211" s="253"/>
    </row>
    <row r="212" spans="6:7" ht="17.25" customHeight="1">
      <c r="F212" s="143"/>
      <c r="G212" s="143"/>
    </row>
    <row r="218" spans="1:7" ht="15">
      <c r="A218" s="463"/>
      <c r="B218" s="447" t="s">
        <v>560</v>
      </c>
      <c r="C218" s="474" t="s">
        <v>380</v>
      </c>
      <c r="D218" s="474"/>
      <c r="E218" s="474"/>
      <c r="F218" s="474"/>
      <c r="G218" s="474"/>
    </row>
    <row r="219" spans="1:7" ht="15">
      <c r="A219" s="464"/>
      <c r="B219" s="447" t="s">
        <v>561</v>
      </c>
      <c r="C219" s="203" t="s">
        <v>564</v>
      </c>
      <c r="E219" s="141"/>
      <c r="F219" s="445"/>
      <c r="G219" s="141"/>
    </row>
    <row r="220" spans="1:7" ht="30.75" customHeight="1">
      <c r="A220" s="463"/>
      <c r="B220" s="448" t="s">
        <v>558</v>
      </c>
      <c r="C220" s="479"/>
      <c r="D220" s="479"/>
      <c r="E220" s="479"/>
      <c r="F220" s="479"/>
      <c r="G220" s="479"/>
    </row>
    <row r="221" spans="1:7" ht="18" customHeight="1">
      <c r="A221" s="471" t="s">
        <v>559</v>
      </c>
      <c r="B221" s="471"/>
      <c r="C221" s="474"/>
      <c r="D221" s="474"/>
      <c r="E221" s="474"/>
      <c r="F221" s="474"/>
      <c r="G221" s="474"/>
    </row>
    <row r="222" spans="1:9" s="137" customFormat="1" ht="15" customHeight="1">
      <c r="A222" s="183"/>
      <c r="B222" s="465" t="s">
        <v>18</v>
      </c>
      <c r="C222" s="35" t="s">
        <v>506</v>
      </c>
      <c r="D222" s="35"/>
      <c r="E222" s="35"/>
      <c r="F222" s="211"/>
      <c r="G222" s="211"/>
      <c r="H222" s="35"/>
      <c r="I222" s="35"/>
    </row>
    <row r="223" spans="1:8" s="137" customFormat="1" ht="15">
      <c r="A223" s="183"/>
      <c r="B223" s="466" t="s">
        <v>440</v>
      </c>
      <c r="C223" s="168" t="s">
        <v>512</v>
      </c>
      <c r="D223" s="166"/>
      <c r="E223" s="138"/>
      <c r="F223" s="138"/>
      <c r="G223" s="138"/>
      <c r="H223" s="138"/>
    </row>
    <row r="224" spans="1:8" s="137" customFormat="1" ht="15">
      <c r="A224" s="139"/>
      <c r="B224" s="139"/>
      <c r="C224" s="518"/>
      <c r="D224" s="518"/>
      <c r="E224" s="518"/>
      <c r="F224" s="518"/>
      <c r="G224" s="518"/>
      <c r="H224" s="518"/>
    </row>
    <row r="225" spans="1:7" s="213" customFormat="1" ht="20.25">
      <c r="A225" s="516" t="s">
        <v>513</v>
      </c>
      <c r="B225" s="516"/>
      <c r="C225" s="516"/>
      <c r="D225" s="516"/>
      <c r="E225" s="516"/>
      <c r="F225" s="169" t="s">
        <v>518</v>
      </c>
      <c r="G225" s="163"/>
    </row>
    <row r="226" spans="1:8" s="29" customFormat="1" ht="15.75" customHeight="1" thickBot="1">
      <c r="A226" s="488"/>
      <c r="B226" s="488"/>
      <c r="C226" s="488"/>
      <c r="D226" s="488"/>
      <c r="E226" s="488"/>
      <c r="F226" s="118"/>
      <c r="G226" s="252" t="s">
        <v>367</v>
      </c>
      <c r="H226" s="26"/>
    </row>
    <row r="227" spans="1:8" s="29" customFormat="1" ht="15.75" customHeight="1" thickBot="1">
      <c r="A227" s="493" t="s">
        <v>372</v>
      </c>
      <c r="B227" s="490" t="s">
        <v>363</v>
      </c>
      <c r="C227" s="490" t="s">
        <v>369</v>
      </c>
      <c r="D227" s="493" t="s">
        <v>189</v>
      </c>
      <c r="E227" s="493" t="s">
        <v>366</v>
      </c>
      <c r="F227" s="511" t="s">
        <v>203</v>
      </c>
      <c r="G227" s="511" t="s">
        <v>368</v>
      </c>
      <c r="H227" s="40"/>
    </row>
    <row r="228" spans="1:8" s="29" customFormat="1" ht="29.25" customHeight="1" thickBot="1">
      <c r="A228" s="494"/>
      <c r="B228" s="490"/>
      <c r="C228" s="490"/>
      <c r="D228" s="494"/>
      <c r="E228" s="494"/>
      <c r="F228" s="512"/>
      <c r="G228" s="512"/>
      <c r="H228" s="140"/>
    </row>
    <row r="229" spans="1:8" s="29" customFormat="1" ht="15" thickBot="1">
      <c r="A229" s="41">
        <v>1</v>
      </c>
      <c r="B229" s="41">
        <v>2</v>
      </c>
      <c r="C229" s="41">
        <v>3</v>
      </c>
      <c r="D229" s="41">
        <v>4</v>
      </c>
      <c r="E229" s="41">
        <v>5</v>
      </c>
      <c r="F229" s="41">
        <v>6</v>
      </c>
      <c r="G229" s="41">
        <v>7</v>
      </c>
      <c r="H229" s="42"/>
    </row>
    <row r="230" spans="1:8" s="179" customFormat="1" ht="5.25">
      <c r="A230" s="237"/>
      <c r="B230" s="237"/>
      <c r="C230" s="237"/>
      <c r="D230" s="237"/>
      <c r="E230" s="237"/>
      <c r="F230" s="237"/>
      <c r="G230" s="237"/>
      <c r="H230" s="238"/>
    </row>
    <row r="231" spans="1:8" s="29" customFormat="1" ht="15">
      <c r="A231" s="186" t="s">
        <v>396</v>
      </c>
      <c r="B231" s="232" t="s">
        <v>519</v>
      </c>
      <c r="C231" s="233"/>
      <c r="D231" s="233"/>
      <c r="E231" s="233"/>
      <c r="F231" s="233"/>
      <c r="G231" s="234"/>
      <c r="H231" s="46"/>
    </row>
    <row r="232" spans="1:8" s="203" customFormat="1" ht="16.5" customHeight="1">
      <c r="A232" s="227"/>
      <c r="B232" s="228" t="s">
        <v>487</v>
      </c>
      <c r="C232" s="228"/>
      <c r="D232" s="228"/>
      <c r="E232" s="228"/>
      <c r="F232" s="229"/>
      <c r="G232" s="254"/>
      <c r="H232" s="204"/>
    </row>
    <row r="233" spans="1:8" ht="16.5" customHeight="1">
      <c r="A233" s="205">
        <v>1</v>
      </c>
      <c r="B233" s="380"/>
      <c r="C233" s="200" t="s">
        <v>488</v>
      </c>
      <c r="D233" s="243" t="s">
        <v>191</v>
      </c>
      <c r="E233" s="243">
        <v>1</v>
      </c>
      <c r="F233" s="382"/>
      <c r="G233" s="255">
        <f>E233*F233</f>
        <v>0</v>
      </c>
      <c r="H233" s="206"/>
    </row>
    <row r="234" spans="1:8" ht="14.25">
      <c r="A234" s="205">
        <v>2</v>
      </c>
      <c r="B234" s="380"/>
      <c r="C234" s="200" t="s">
        <v>490</v>
      </c>
      <c r="D234" s="243" t="s">
        <v>191</v>
      </c>
      <c r="E234" s="243">
        <v>1</v>
      </c>
      <c r="F234" s="382"/>
      <c r="G234" s="255">
        <f aca="true" t="shared" si="4" ref="G234:G241">E234*F234</f>
        <v>0</v>
      </c>
      <c r="H234" s="206"/>
    </row>
    <row r="235" spans="1:8" ht="14.25">
      <c r="A235" s="205">
        <v>3</v>
      </c>
      <c r="B235" s="380"/>
      <c r="C235" s="200" t="s">
        <v>491</v>
      </c>
      <c r="D235" s="243" t="s">
        <v>191</v>
      </c>
      <c r="E235" s="243">
        <v>4</v>
      </c>
      <c r="F235" s="382"/>
      <c r="G235" s="255">
        <f t="shared" si="4"/>
        <v>0</v>
      </c>
      <c r="H235" s="206"/>
    </row>
    <row r="236" spans="1:8" s="203" customFormat="1" ht="16.5" customHeight="1">
      <c r="A236" s="230"/>
      <c r="B236" s="202" t="s">
        <v>492</v>
      </c>
      <c r="C236" s="202"/>
      <c r="D236" s="244"/>
      <c r="E236" s="244"/>
      <c r="F236" s="247"/>
      <c r="G236" s="256"/>
      <c r="H236" s="204"/>
    </row>
    <row r="237" spans="1:8" ht="16.5" customHeight="1">
      <c r="A237" s="225">
        <v>4</v>
      </c>
      <c r="B237" s="210"/>
      <c r="C237" s="200" t="s">
        <v>493</v>
      </c>
      <c r="D237" s="243" t="s">
        <v>191</v>
      </c>
      <c r="E237" s="243">
        <v>1</v>
      </c>
      <c r="F237" s="382"/>
      <c r="G237" s="255">
        <f t="shared" si="4"/>
        <v>0</v>
      </c>
      <c r="H237" s="206"/>
    </row>
    <row r="238" spans="1:8" ht="14.25">
      <c r="A238" s="205">
        <v>5</v>
      </c>
      <c r="B238" s="380"/>
      <c r="C238" s="200" t="s">
        <v>494</v>
      </c>
      <c r="D238" s="243" t="s">
        <v>191</v>
      </c>
      <c r="E238" s="243">
        <v>2</v>
      </c>
      <c r="F238" s="382"/>
      <c r="G238" s="255">
        <f t="shared" si="4"/>
        <v>0</v>
      </c>
      <c r="H238" s="206"/>
    </row>
    <row r="239" spans="1:8" ht="14.25">
      <c r="A239" s="205">
        <v>6</v>
      </c>
      <c r="B239" s="380"/>
      <c r="C239" s="200" t="s">
        <v>495</v>
      </c>
      <c r="D239" s="243" t="s">
        <v>191</v>
      </c>
      <c r="E239" s="243">
        <v>1</v>
      </c>
      <c r="F239" s="382"/>
      <c r="G239" s="255">
        <f t="shared" si="4"/>
        <v>0</v>
      </c>
      <c r="H239" s="206"/>
    </row>
    <row r="240" spans="1:8" ht="14.25">
      <c r="A240" s="205">
        <v>7</v>
      </c>
      <c r="B240" s="380"/>
      <c r="C240" s="226" t="s">
        <v>496</v>
      </c>
      <c r="D240" s="243" t="s">
        <v>191</v>
      </c>
      <c r="E240" s="243">
        <v>2</v>
      </c>
      <c r="F240" s="382"/>
      <c r="G240" s="255">
        <f t="shared" si="4"/>
        <v>0</v>
      </c>
      <c r="H240" s="206"/>
    </row>
    <row r="241" spans="1:8" ht="14.25">
      <c r="A241" s="205">
        <v>8</v>
      </c>
      <c r="B241" s="380"/>
      <c r="C241" s="200" t="s">
        <v>497</v>
      </c>
      <c r="D241" s="243" t="s">
        <v>191</v>
      </c>
      <c r="E241" s="243">
        <v>2</v>
      </c>
      <c r="F241" s="382"/>
      <c r="G241" s="255">
        <f t="shared" si="4"/>
        <v>0</v>
      </c>
      <c r="H241" s="206"/>
    </row>
    <row r="242" spans="1:8" s="203" customFormat="1" ht="15">
      <c r="A242" s="231"/>
      <c r="B242" s="202" t="s">
        <v>498</v>
      </c>
      <c r="C242" s="202"/>
      <c r="D242" s="244"/>
      <c r="E242" s="244"/>
      <c r="F242" s="247"/>
      <c r="G242" s="256"/>
      <c r="H242" s="204"/>
    </row>
    <row r="243" spans="1:8" ht="14.25">
      <c r="A243" s="205">
        <v>9</v>
      </c>
      <c r="B243" s="380"/>
      <c r="C243" s="200" t="s">
        <v>499</v>
      </c>
      <c r="D243" s="243" t="s">
        <v>191</v>
      </c>
      <c r="E243" s="243">
        <v>5</v>
      </c>
      <c r="F243" s="382"/>
      <c r="G243" s="255">
        <f>E243*F243</f>
        <v>0</v>
      </c>
      <c r="H243" s="206"/>
    </row>
    <row r="244" spans="1:8" ht="14.25">
      <c r="A244" s="205">
        <v>10</v>
      </c>
      <c r="B244" s="380"/>
      <c r="C244" s="200" t="s">
        <v>500</v>
      </c>
      <c r="D244" s="243" t="s">
        <v>191</v>
      </c>
      <c r="E244" s="243">
        <v>3</v>
      </c>
      <c r="F244" s="382"/>
      <c r="G244" s="255">
        <f>E244*F244</f>
        <v>0</v>
      </c>
      <c r="H244" s="206"/>
    </row>
    <row r="245" spans="1:8" ht="14.25">
      <c r="A245" s="205">
        <v>11</v>
      </c>
      <c r="B245" s="380"/>
      <c r="C245" s="200" t="s">
        <v>501</v>
      </c>
      <c r="D245" s="243" t="s">
        <v>191</v>
      </c>
      <c r="E245" s="243">
        <v>3</v>
      </c>
      <c r="F245" s="382"/>
      <c r="G245" s="255">
        <f>E245*F245</f>
        <v>0</v>
      </c>
      <c r="H245" s="206"/>
    </row>
    <row r="246" spans="1:8" ht="14.25">
      <c r="A246" s="205">
        <v>12</v>
      </c>
      <c r="B246" s="380"/>
      <c r="C246" s="200" t="s">
        <v>502</v>
      </c>
      <c r="D246" s="243" t="s">
        <v>191</v>
      </c>
      <c r="E246" s="243">
        <v>364</v>
      </c>
      <c r="F246" s="382"/>
      <c r="G246" s="255">
        <f>E246*F246</f>
        <v>0</v>
      </c>
      <c r="H246" s="206"/>
    </row>
    <row r="247" spans="1:8" ht="14.25">
      <c r="A247" s="205">
        <v>13</v>
      </c>
      <c r="B247" s="380"/>
      <c r="C247" s="200" t="s">
        <v>503</v>
      </c>
      <c r="D247" s="243" t="s">
        <v>191</v>
      </c>
      <c r="E247" s="243">
        <v>10</v>
      </c>
      <c r="F247" s="382"/>
      <c r="G247" s="255">
        <f>E247*F247</f>
        <v>0</v>
      </c>
      <c r="H247" s="206"/>
    </row>
    <row r="248" spans="1:8" s="236" customFormat="1" ht="6" thickBot="1">
      <c r="A248" s="239"/>
      <c r="B248" s="240"/>
      <c r="C248" s="241"/>
      <c r="D248" s="245"/>
      <c r="E248" s="245"/>
      <c r="F248" s="248"/>
      <c r="G248" s="257"/>
      <c r="H248" s="235"/>
    </row>
    <row r="249" spans="1:8" ht="16.5" thickBot="1" thickTop="1">
      <c r="A249" s="207" t="s">
        <v>397</v>
      </c>
      <c r="B249" s="514" t="s">
        <v>516</v>
      </c>
      <c r="C249" s="515"/>
      <c r="D249" s="244"/>
      <c r="E249" s="246"/>
      <c r="F249" s="249"/>
      <c r="G249" s="258"/>
      <c r="H249" s="208"/>
    </row>
    <row r="250" spans="1:8" s="210" customFormat="1" ht="29.25" thickTop="1">
      <c r="A250" s="243">
        <v>14</v>
      </c>
      <c r="B250" s="381"/>
      <c r="C250" s="242" t="s">
        <v>520</v>
      </c>
      <c r="D250" s="243" t="s">
        <v>515</v>
      </c>
      <c r="E250" s="243">
        <v>1119</v>
      </c>
      <c r="F250" s="382"/>
      <c r="G250" s="255">
        <f>E250*F250</f>
        <v>0</v>
      </c>
      <c r="H250" s="209"/>
    </row>
    <row r="251" spans="5:8" s="29" customFormat="1" ht="15">
      <c r="E251" s="57"/>
      <c r="F251" s="58" t="s">
        <v>364</v>
      </c>
      <c r="G251" s="59">
        <f>SUM(G233:G250)</f>
        <v>0</v>
      </c>
      <c r="H251" s="7"/>
    </row>
    <row r="252" spans="5:8" s="29" customFormat="1" ht="15">
      <c r="E252" s="484" t="s">
        <v>206</v>
      </c>
      <c r="F252" s="484"/>
      <c r="G252" s="59">
        <f>G251*0.2</f>
        <v>0</v>
      </c>
      <c r="H252" s="7"/>
    </row>
    <row r="253" spans="3:8" s="29" customFormat="1" ht="15">
      <c r="C253" s="26"/>
      <c r="E253" s="57"/>
      <c r="F253" s="60" t="s">
        <v>365</v>
      </c>
      <c r="G253" s="59">
        <f>G251+G252</f>
        <v>0</v>
      </c>
      <c r="H253" s="7"/>
    </row>
    <row r="254" spans="3:16" s="29" customFormat="1" ht="14.25">
      <c r="C254" s="61"/>
      <c r="D254" s="62"/>
      <c r="E254" s="62"/>
      <c r="H254" s="7"/>
      <c r="O254" s="3"/>
      <c r="P254" s="6"/>
    </row>
    <row r="255" spans="2:16" s="29" customFormat="1" ht="18.75">
      <c r="B255" s="63" t="s">
        <v>370</v>
      </c>
      <c r="C255" s="64" t="s">
        <v>371</v>
      </c>
      <c r="D255" s="62"/>
      <c r="E255" s="62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8:16" s="29" customFormat="1" ht="14.25"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8:16" s="29" customFormat="1" ht="15" customHeight="1"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8:16" s="29" customFormat="1" ht="14.25"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7" s="67" customFormat="1" ht="15">
      <c r="A259" s="187" t="s">
        <v>373</v>
      </c>
      <c r="B259" s="2"/>
      <c r="C259" s="65"/>
      <c r="D259" s="66" t="s">
        <v>374</v>
      </c>
      <c r="E259" s="24"/>
      <c r="G259" s="253"/>
    </row>
    <row r="260" spans="1:7" s="67" customFormat="1" ht="12.75">
      <c r="A260" s="2"/>
      <c r="B260" s="2"/>
      <c r="C260" s="11"/>
      <c r="D260" s="2"/>
      <c r="E260" s="24"/>
      <c r="G260" s="253"/>
    </row>
    <row r="261" spans="1:7" s="67" customFormat="1" ht="14.25">
      <c r="A261" s="2"/>
      <c r="B261" s="2"/>
      <c r="C261" s="68"/>
      <c r="D261" s="69" t="s">
        <v>375</v>
      </c>
      <c r="E261" s="24"/>
      <c r="G261" s="253"/>
    </row>
    <row r="262" spans="1:7" s="67" customFormat="1" ht="12.75">
      <c r="A262" s="2"/>
      <c r="B262" s="2"/>
      <c r="C262" s="11"/>
      <c r="D262" s="2"/>
      <c r="E262" s="70" t="s">
        <v>376</v>
      </c>
      <c r="G262" s="253"/>
    </row>
    <row r="263" spans="1:7" s="67" customFormat="1" ht="14.25">
      <c r="A263" s="2"/>
      <c r="B263" s="2"/>
      <c r="C263" s="68"/>
      <c r="D263" s="69" t="s">
        <v>377</v>
      </c>
      <c r="E263" s="24"/>
      <c r="G263" s="253"/>
    </row>
    <row r="264" spans="1:7" s="67" customFormat="1" ht="12.75">
      <c r="A264" s="2"/>
      <c r="B264" s="2"/>
      <c r="C264" s="11"/>
      <c r="D264" s="71" t="s">
        <v>378</v>
      </c>
      <c r="E264" s="24"/>
      <c r="G264" s="253"/>
    </row>
    <row r="265" spans="6:7" s="210" customFormat="1" ht="14.25">
      <c r="F265" s="212"/>
      <c r="G265" s="212"/>
    </row>
    <row r="266" spans="6:7" s="210" customFormat="1" ht="14.25">
      <c r="F266" s="212"/>
      <c r="G266" s="212"/>
    </row>
    <row r="270" spans="1:7" ht="15">
      <c r="A270" s="463"/>
      <c r="B270" s="447" t="s">
        <v>560</v>
      </c>
      <c r="C270" s="474" t="s">
        <v>380</v>
      </c>
      <c r="D270" s="474"/>
      <c r="E270" s="474"/>
      <c r="F270" s="474"/>
      <c r="G270" s="474"/>
    </row>
    <row r="271" spans="1:7" ht="15">
      <c r="A271" s="464"/>
      <c r="B271" s="447" t="s">
        <v>561</v>
      </c>
      <c r="C271" s="203" t="s">
        <v>564</v>
      </c>
      <c r="E271" s="141"/>
      <c r="F271" s="445"/>
      <c r="G271" s="141"/>
    </row>
    <row r="272" spans="1:7" ht="30.75" customHeight="1">
      <c r="A272" s="463"/>
      <c r="B272" s="448" t="s">
        <v>558</v>
      </c>
      <c r="C272" s="479"/>
      <c r="D272" s="479"/>
      <c r="E272" s="479"/>
      <c r="F272" s="479"/>
      <c r="G272" s="479"/>
    </row>
    <row r="273" spans="1:7" ht="18" customHeight="1">
      <c r="A273" s="471" t="s">
        <v>559</v>
      </c>
      <c r="B273" s="471"/>
      <c r="C273" s="474"/>
      <c r="D273" s="474"/>
      <c r="E273" s="474"/>
      <c r="F273" s="474"/>
      <c r="G273" s="474"/>
    </row>
    <row r="274" spans="1:9" s="137" customFormat="1" ht="15" customHeight="1">
      <c r="A274" s="183"/>
      <c r="B274" s="465" t="s">
        <v>18</v>
      </c>
      <c r="C274" s="35" t="s">
        <v>506</v>
      </c>
      <c r="D274" s="35"/>
      <c r="E274" s="35"/>
      <c r="F274" s="211"/>
      <c r="G274" s="211"/>
      <c r="H274" s="35"/>
      <c r="I274" s="35"/>
    </row>
    <row r="275" spans="1:8" s="137" customFormat="1" ht="15">
      <c r="A275" s="183"/>
      <c r="B275" s="466" t="s">
        <v>440</v>
      </c>
      <c r="C275" s="168" t="s">
        <v>446</v>
      </c>
      <c r="D275" s="166"/>
      <c r="E275" s="138"/>
      <c r="F275" s="138"/>
      <c r="G275" s="138"/>
      <c r="H275" s="138"/>
    </row>
    <row r="276" spans="1:8" s="137" customFormat="1" ht="15">
      <c r="A276" s="183"/>
      <c r="B276" s="167"/>
      <c r="C276" s="168"/>
      <c r="D276" s="166"/>
      <c r="E276" s="138"/>
      <c r="F276" s="138"/>
      <c r="G276" s="138"/>
      <c r="H276" s="138"/>
    </row>
    <row r="277" spans="1:8" s="137" customFormat="1" ht="15">
      <c r="A277" s="139"/>
      <c r="B277" s="139"/>
      <c r="C277" s="518"/>
      <c r="D277" s="518"/>
      <c r="E277" s="518"/>
      <c r="F277" s="518"/>
      <c r="G277" s="518"/>
      <c r="H277" s="518"/>
    </row>
    <row r="278" spans="1:7" s="137" customFormat="1" ht="21">
      <c r="A278" s="516" t="s">
        <v>438</v>
      </c>
      <c r="B278" s="516"/>
      <c r="C278" s="516"/>
      <c r="D278" s="516"/>
      <c r="E278" s="516"/>
      <c r="F278" s="169">
        <v>47</v>
      </c>
      <c r="G278" s="163"/>
    </row>
    <row r="279" spans="1:7" s="137" customFormat="1" ht="20.25">
      <c r="A279" s="165"/>
      <c r="B279" s="165"/>
      <c r="C279" s="165"/>
      <c r="D279" s="165"/>
      <c r="E279" s="165"/>
      <c r="F279" s="163"/>
      <c r="G279" s="163"/>
    </row>
    <row r="280" spans="1:7" s="137" customFormat="1" ht="20.25">
      <c r="A280" s="165"/>
      <c r="B280" s="165"/>
      <c r="C280" s="165"/>
      <c r="D280" s="165"/>
      <c r="E280" s="165"/>
      <c r="F280" s="163"/>
      <c r="G280" s="163"/>
    </row>
    <row r="281" spans="1:8" s="29" customFormat="1" ht="15.75" customHeight="1" thickBot="1">
      <c r="A281" s="517"/>
      <c r="B281" s="517"/>
      <c r="C281" s="517"/>
      <c r="D281" s="517"/>
      <c r="E281" s="517"/>
      <c r="F281" s="26"/>
      <c r="G281" s="252" t="s">
        <v>367</v>
      </c>
      <c r="H281" s="26"/>
    </row>
    <row r="282" spans="1:16" s="118" customFormat="1" ht="32.25" customHeight="1" thickBot="1">
      <c r="A282" s="191" t="s">
        <v>393</v>
      </c>
      <c r="B282" s="490" t="s">
        <v>448</v>
      </c>
      <c r="C282" s="490"/>
      <c r="D282" s="490"/>
      <c r="E282" s="490"/>
      <c r="F282" s="490"/>
      <c r="G282" s="123" t="s">
        <v>368</v>
      </c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1:16" s="179" customFormat="1" ht="5.25">
      <c r="A283" s="124"/>
      <c r="B283" s="124"/>
      <c r="C283" s="124"/>
      <c r="D283" s="124"/>
      <c r="E283" s="124"/>
      <c r="H283" s="180"/>
      <c r="I283" s="180"/>
      <c r="J283" s="180"/>
      <c r="K283" s="180"/>
      <c r="L283" s="180"/>
      <c r="M283" s="180"/>
      <c r="N283" s="180"/>
      <c r="O283" s="180"/>
      <c r="P283" s="180"/>
    </row>
    <row r="284" spans="1:16" s="29" customFormat="1" ht="15">
      <c r="A284" s="181" t="s">
        <v>505</v>
      </c>
      <c r="B284" s="513" t="s">
        <v>449</v>
      </c>
      <c r="C284" s="513"/>
      <c r="D284" s="513"/>
      <c r="E284" s="513"/>
      <c r="F284" s="513"/>
      <c r="G284" s="52">
        <f>G21</f>
        <v>0</v>
      </c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s="179" customFormat="1" ht="5.25">
      <c r="A285" s="190"/>
      <c r="B285" s="188"/>
      <c r="C285" s="188"/>
      <c r="D285" s="188"/>
      <c r="E285" s="188"/>
      <c r="F285" s="188"/>
      <c r="G285" s="250"/>
      <c r="H285" s="180"/>
      <c r="I285" s="180"/>
      <c r="J285" s="180"/>
      <c r="K285" s="180"/>
      <c r="L285" s="180"/>
      <c r="M285" s="180"/>
      <c r="N285" s="180"/>
      <c r="O285" s="180"/>
      <c r="P285" s="180"/>
    </row>
    <row r="286" spans="1:16" s="29" customFormat="1" ht="15">
      <c r="A286" s="181" t="s">
        <v>507</v>
      </c>
      <c r="B286" s="513" t="s">
        <v>450</v>
      </c>
      <c r="C286" s="513"/>
      <c r="D286" s="513"/>
      <c r="E286" s="513"/>
      <c r="F286" s="513"/>
      <c r="G286" s="52">
        <f>G53</f>
        <v>0</v>
      </c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s="179" customFormat="1" ht="5.25">
      <c r="A287" s="190"/>
      <c r="B287" s="188"/>
      <c r="C287" s="188"/>
      <c r="D287" s="188"/>
      <c r="E287" s="188"/>
      <c r="F287" s="188"/>
      <c r="G287" s="250"/>
      <c r="H287" s="180"/>
      <c r="I287" s="180"/>
      <c r="J287" s="180"/>
      <c r="K287" s="180"/>
      <c r="L287" s="180"/>
      <c r="M287" s="180"/>
      <c r="N287" s="180"/>
      <c r="O287" s="180"/>
      <c r="P287" s="180"/>
    </row>
    <row r="288" spans="1:16" s="29" customFormat="1" ht="15">
      <c r="A288" s="181" t="s">
        <v>508</v>
      </c>
      <c r="B288" s="513" t="s">
        <v>413</v>
      </c>
      <c r="C288" s="513"/>
      <c r="D288" s="513"/>
      <c r="E288" s="513"/>
      <c r="F288" s="513"/>
      <c r="G288" s="52">
        <f>G110</f>
        <v>0</v>
      </c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s="179" customFormat="1" ht="5.25">
      <c r="A289" s="124"/>
      <c r="B289" s="188"/>
      <c r="C289" s="188"/>
      <c r="D289" s="188"/>
      <c r="E289" s="188"/>
      <c r="F289" s="189"/>
      <c r="G289" s="251"/>
      <c r="H289" s="180"/>
      <c r="I289" s="180"/>
      <c r="J289" s="180"/>
      <c r="K289" s="180"/>
      <c r="L289" s="180"/>
      <c r="M289" s="180"/>
      <c r="N289" s="180"/>
      <c r="O289" s="180"/>
      <c r="P289" s="180"/>
    </row>
    <row r="290" spans="1:16" s="29" customFormat="1" ht="15">
      <c r="A290" s="181" t="s">
        <v>509</v>
      </c>
      <c r="B290" s="513" t="s">
        <v>523</v>
      </c>
      <c r="C290" s="513"/>
      <c r="D290" s="513"/>
      <c r="E290" s="513"/>
      <c r="F290" s="513"/>
      <c r="G290" s="52">
        <f>G148</f>
        <v>0</v>
      </c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s="179" customFormat="1" ht="5.25">
      <c r="A291" s="190"/>
      <c r="B291" s="188"/>
      <c r="C291" s="188"/>
      <c r="D291" s="188"/>
      <c r="E291" s="188"/>
      <c r="F291" s="188"/>
      <c r="G291" s="250"/>
      <c r="H291" s="180"/>
      <c r="I291" s="180"/>
      <c r="J291" s="180"/>
      <c r="K291" s="180"/>
      <c r="L291" s="180"/>
      <c r="M291" s="180"/>
      <c r="N291" s="180"/>
      <c r="O291" s="180"/>
      <c r="P291" s="180"/>
    </row>
    <row r="292" spans="1:16" s="29" customFormat="1" ht="15">
      <c r="A292" s="181" t="s">
        <v>517</v>
      </c>
      <c r="B292" s="513" t="s">
        <v>522</v>
      </c>
      <c r="C292" s="513"/>
      <c r="D292" s="513"/>
      <c r="E292" s="513"/>
      <c r="F292" s="513"/>
      <c r="G292" s="52">
        <f>G198</f>
        <v>0</v>
      </c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s="179" customFormat="1" ht="5.25">
      <c r="A293" s="190"/>
      <c r="B293" s="188"/>
      <c r="C293" s="188"/>
      <c r="D293" s="188"/>
      <c r="E293" s="188"/>
      <c r="F293" s="188"/>
      <c r="G293" s="250"/>
      <c r="H293" s="180"/>
      <c r="I293" s="180"/>
      <c r="J293" s="180"/>
      <c r="K293" s="180"/>
      <c r="L293" s="180"/>
      <c r="M293" s="180"/>
      <c r="N293" s="180"/>
      <c r="O293" s="180"/>
      <c r="P293" s="180"/>
    </row>
    <row r="294" spans="1:16" s="29" customFormat="1" ht="15">
      <c r="A294" s="181" t="s">
        <v>518</v>
      </c>
      <c r="B294" s="513" t="s">
        <v>521</v>
      </c>
      <c r="C294" s="513"/>
      <c r="D294" s="513"/>
      <c r="E294" s="513"/>
      <c r="F294" s="513"/>
      <c r="G294" s="52">
        <f>G251</f>
        <v>0</v>
      </c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s="179" customFormat="1" ht="5.25">
      <c r="A295" s="124"/>
      <c r="B295" s="188"/>
      <c r="C295" s="188"/>
      <c r="D295" s="188"/>
      <c r="E295" s="188"/>
      <c r="F295" s="189"/>
      <c r="G295" s="124"/>
      <c r="H295" s="180"/>
      <c r="I295" s="180"/>
      <c r="J295" s="180"/>
      <c r="K295" s="180"/>
      <c r="L295" s="180"/>
      <c r="M295" s="180"/>
      <c r="N295" s="180"/>
      <c r="O295" s="180"/>
      <c r="P295" s="180"/>
    </row>
    <row r="296" spans="1:16" s="29" customFormat="1" ht="15">
      <c r="A296" s="34"/>
      <c r="B296" s="34"/>
      <c r="C296" s="34"/>
      <c r="D296" s="34"/>
      <c r="E296" s="57"/>
      <c r="F296" s="170" t="s">
        <v>364</v>
      </c>
      <c r="G296" s="261">
        <f>SUM(G284:G294)</f>
        <v>0</v>
      </c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s="29" customFormat="1" ht="15">
      <c r="A297" s="34"/>
      <c r="B297" s="34"/>
      <c r="C297" s="34"/>
      <c r="D297" s="34"/>
      <c r="E297" s="484" t="s">
        <v>206</v>
      </c>
      <c r="F297" s="484"/>
      <c r="G297" s="261">
        <f>G296*0.2</f>
        <v>0</v>
      </c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s="29" customFormat="1" ht="15">
      <c r="A298" s="34"/>
      <c r="B298" s="34"/>
      <c r="C298" s="34"/>
      <c r="D298" s="34"/>
      <c r="E298" s="57"/>
      <c r="F298" s="60" t="s">
        <v>365</v>
      </c>
      <c r="G298" s="261">
        <f>G296+G297</f>
        <v>0</v>
      </c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s="29" customFormat="1" ht="14.25">
      <c r="A299" s="34"/>
      <c r="B299" s="34"/>
      <c r="C299" s="34"/>
      <c r="D299" s="34"/>
      <c r="E299" s="34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s="29" customFormat="1" ht="14.25">
      <c r="A300" s="34"/>
      <c r="B300" s="34"/>
      <c r="C300" s="34"/>
      <c r="D300" s="34"/>
      <c r="E300" s="34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s="29" customFormat="1" ht="14.25">
      <c r="A301" s="34"/>
      <c r="B301" s="34"/>
      <c r="C301" s="34"/>
      <c r="D301" s="34"/>
      <c r="E301" s="34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s="29" customFormat="1" ht="14.25">
      <c r="A302" s="34"/>
      <c r="B302" s="34"/>
      <c r="C302" s="34"/>
      <c r="D302" s="34"/>
      <c r="E302" s="34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s="29" customFormat="1" ht="14.25">
      <c r="A303" s="34"/>
      <c r="B303" s="34"/>
      <c r="C303" s="34"/>
      <c r="D303" s="34"/>
      <c r="E303" s="34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s="29" customFormat="1" ht="14.25">
      <c r="A304" s="34"/>
      <c r="B304" s="34"/>
      <c r="C304" s="34"/>
      <c r="D304" s="34"/>
      <c r="E304" s="34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s="29" customFormat="1" ht="14.25">
      <c r="A305" s="34"/>
      <c r="B305" s="34"/>
      <c r="C305" s="34"/>
      <c r="D305" s="34"/>
      <c r="E305" s="34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8:16" s="29" customFormat="1" ht="15" customHeight="1"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8:16" s="29" customFormat="1" ht="14.25"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7" s="67" customFormat="1" ht="15">
      <c r="A308" s="187" t="s">
        <v>373</v>
      </c>
      <c r="B308" s="2"/>
      <c r="C308" s="65"/>
      <c r="D308" s="66" t="s">
        <v>374</v>
      </c>
      <c r="E308" s="24"/>
      <c r="G308" s="253"/>
    </row>
    <row r="309" spans="1:7" s="67" customFormat="1" ht="12.75">
      <c r="A309" s="2"/>
      <c r="B309" s="2"/>
      <c r="C309" s="11"/>
      <c r="D309" s="2"/>
      <c r="E309" s="24"/>
      <c r="G309" s="253"/>
    </row>
    <row r="310" spans="1:7" s="67" customFormat="1" ht="14.25">
      <c r="A310" s="2"/>
      <c r="B310" s="2"/>
      <c r="C310" s="68"/>
      <c r="D310" s="69" t="s">
        <v>375</v>
      </c>
      <c r="E310" s="24"/>
      <c r="G310" s="253"/>
    </row>
    <row r="311" spans="1:7" s="67" customFormat="1" ht="12.75">
      <c r="A311" s="2"/>
      <c r="B311" s="2"/>
      <c r="C311" s="11"/>
      <c r="D311" s="2"/>
      <c r="E311" s="70" t="s">
        <v>376</v>
      </c>
      <c r="G311" s="253"/>
    </row>
    <row r="312" spans="1:7" s="67" customFormat="1" ht="14.25">
      <c r="A312" s="2"/>
      <c r="B312" s="2"/>
      <c r="C312" s="68"/>
      <c r="D312" s="69" t="s">
        <v>377</v>
      </c>
      <c r="E312" s="24"/>
      <c r="G312" s="253"/>
    </row>
    <row r="313" spans="1:7" s="67" customFormat="1" ht="12.75">
      <c r="A313" s="2"/>
      <c r="B313" s="2"/>
      <c r="C313" s="11"/>
      <c r="D313" s="71" t="s">
        <v>378</v>
      </c>
      <c r="E313" s="24"/>
      <c r="G313" s="253"/>
    </row>
    <row r="314" spans="1:20" s="137" customFormat="1" ht="14.25">
      <c r="A314" s="142"/>
      <c r="B314" s="142"/>
      <c r="C314" s="141"/>
      <c r="D314" s="141"/>
      <c r="E314" s="143"/>
      <c r="F314" s="142"/>
      <c r="G314" s="145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9:A12 C9:E9 B9:B10 B12:E12 C10:C11 A48:A51 C48:E48 B48:B49 B51:E51 C49:C50 A83:A86 C83:E83 B83:B84 B86:E86 C84:C85 A133:A136 C133:E133 B133:B134 B136:E136 C134:C135 A180:A183 C180:E180 B180:B181 B183:E183 C181:C182 A226:A231 C226:E226 B226:B227 B229:E231 C227:C228" name="Range1_2"/>
    <protectedRange password="CF7A" sqref="A25:E34 A57:E66 A114:E123 A152:E161 A202:E211 A255:E264" name="Range1_3"/>
    <protectedRange password="CF7A" sqref="F22 E21:E23 F54 E53:E55 F111 E110:E112 F149 E148:E150 F199 E198:E200 F252 E251:E253" name="Range1_1_3"/>
    <protectedRange password="CF7A" sqref="A281:E281" name="Range1_2_1"/>
    <protectedRange password="CF7A" sqref="E282:F282 B284:C285 B286:B289 B296:C313 B282 B283:E283 D299:E313 D296:D298 D284:E295 B290:C291 B292:B295 A282:A313" name="Range1_3_1"/>
    <protectedRange password="CF7A" sqref="F297 E296:E298" name="Range1_1_3_1"/>
  </protectedRanges>
  <mergeCells count="106">
    <mergeCell ref="C127:G127"/>
    <mergeCell ref="A128:B128"/>
    <mergeCell ref="C128:G128"/>
    <mergeCell ref="C218:G218"/>
    <mergeCell ref="C220:G220"/>
    <mergeCell ref="A221:B221"/>
    <mergeCell ref="C221:G221"/>
    <mergeCell ref="D181:D182"/>
    <mergeCell ref="C175:G175"/>
    <mergeCell ref="G181:G182"/>
    <mergeCell ref="C77:G77"/>
    <mergeCell ref="F49:F50"/>
    <mergeCell ref="C172:G172"/>
    <mergeCell ref="C174:G174"/>
    <mergeCell ref="B134:B135"/>
    <mergeCell ref="C134:C135"/>
    <mergeCell ref="D134:D135"/>
    <mergeCell ref="E134:E135"/>
    <mergeCell ref="G134:G135"/>
    <mergeCell ref="C125:G125"/>
    <mergeCell ref="E49:E50"/>
    <mergeCell ref="G49:G50"/>
    <mergeCell ref="E54:F54"/>
    <mergeCell ref="A43:B43"/>
    <mergeCell ref="C43:G43"/>
    <mergeCell ref="C75:G75"/>
    <mergeCell ref="C1:G1"/>
    <mergeCell ref="C3:G3"/>
    <mergeCell ref="A4:B4"/>
    <mergeCell ref="C4:G4"/>
    <mergeCell ref="A78:B78"/>
    <mergeCell ref="C78:G78"/>
    <mergeCell ref="C46:H46"/>
    <mergeCell ref="A47:E47"/>
    <mergeCell ref="A48:E48"/>
    <mergeCell ref="A49:A50"/>
    <mergeCell ref="A278:E278"/>
    <mergeCell ref="A281:E281"/>
    <mergeCell ref="C40:G40"/>
    <mergeCell ref="C42:G42"/>
    <mergeCell ref="C7:H7"/>
    <mergeCell ref="A8:E8"/>
    <mergeCell ref="A9:E9"/>
    <mergeCell ref="A10:A11"/>
    <mergeCell ref="E22:F22"/>
    <mergeCell ref="D49:D50"/>
    <mergeCell ref="B249:C249"/>
    <mergeCell ref="C270:G270"/>
    <mergeCell ref="C272:G272"/>
    <mergeCell ref="A273:B273"/>
    <mergeCell ref="E252:F252"/>
    <mergeCell ref="C277:H277"/>
    <mergeCell ref="B288:F288"/>
    <mergeCell ref="E297:F297"/>
    <mergeCell ref="B290:F290"/>
    <mergeCell ref="B292:F292"/>
    <mergeCell ref="B294:F294"/>
    <mergeCell ref="B284:F284"/>
    <mergeCell ref="B286:F286"/>
    <mergeCell ref="B282:F282"/>
    <mergeCell ref="C273:G273"/>
    <mergeCell ref="B10:B11"/>
    <mergeCell ref="C10:C11"/>
    <mergeCell ref="D10:D11"/>
    <mergeCell ref="E10:E11"/>
    <mergeCell ref="F10:F11"/>
    <mergeCell ref="G10:G11"/>
    <mergeCell ref="B49:B50"/>
    <mergeCell ref="C49:C50"/>
    <mergeCell ref="C81:H81"/>
    <mergeCell ref="A82:E82"/>
    <mergeCell ref="A83:E83"/>
    <mergeCell ref="A84:A85"/>
    <mergeCell ref="B84:B85"/>
    <mergeCell ref="C84:C85"/>
    <mergeCell ref="D84:D85"/>
    <mergeCell ref="E84:E85"/>
    <mergeCell ref="G84:G85"/>
    <mergeCell ref="C131:H131"/>
    <mergeCell ref="A132:E132"/>
    <mergeCell ref="A133:E133"/>
    <mergeCell ref="A134:A135"/>
    <mergeCell ref="F134:F135"/>
    <mergeCell ref="A181:A182"/>
    <mergeCell ref="B181:B182"/>
    <mergeCell ref="C181:C182"/>
    <mergeCell ref="C224:H224"/>
    <mergeCell ref="A225:E225"/>
    <mergeCell ref="A226:E226"/>
    <mergeCell ref="A227:A228"/>
    <mergeCell ref="B227:B228"/>
    <mergeCell ref="C227:C228"/>
    <mergeCell ref="D227:D228"/>
    <mergeCell ref="E227:E228"/>
    <mergeCell ref="F227:F228"/>
    <mergeCell ref="G227:G228"/>
    <mergeCell ref="E111:F111"/>
    <mergeCell ref="E149:F149"/>
    <mergeCell ref="E199:F199"/>
    <mergeCell ref="F84:F85"/>
    <mergeCell ref="C178:H178"/>
    <mergeCell ref="A179:E179"/>
    <mergeCell ref="A180:E180"/>
    <mergeCell ref="E181:E182"/>
    <mergeCell ref="F181:F182"/>
    <mergeCell ref="A175:B175"/>
  </mergeCells>
  <printOptions horizontalCentered="1"/>
  <pageMargins left="0.7086614173228347" right="0.1968503937007874" top="0.35433070866141736" bottom="0.2755905511811024" header="0.31496062992125984" footer="0.31496062992125984"/>
  <pageSetup horizontalDpi="600" verticalDpi="600" orientation="portrait" paperSize="9" scale="70" r:id="rId1"/>
  <rowBreaks count="6" manualBreakCount="6">
    <brk id="38" max="255" man="1"/>
    <brk id="73" max="255" man="1"/>
    <brk id="123" max="255" man="1"/>
    <brk id="170" max="255" man="1"/>
    <brk id="216" max="255" man="1"/>
    <brk id="2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58"/>
  <sheetViews>
    <sheetView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7.28125" style="29" customWidth="1"/>
    <col min="2" max="2" width="20.2812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32.25" customHeight="1">
      <c r="A5" s="441"/>
      <c r="B5" s="442" t="s">
        <v>562</v>
      </c>
      <c r="C5" s="492" t="s">
        <v>563</v>
      </c>
      <c r="D5" s="492"/>
      <c r="E5" s="492"/>
      <c r="F5" s="492"/>
      <c r="G5" s="492"/>
      <c r="H5" s="436"/>
    </row>
    <row r="6" spans="1:12" ht="15">
      <c r="A6" s="486" t="s">
        <v>379</v>
      </c>
      <c r="B6" s="486"/>
      <c r="C6" s="486"/>
      <c r="D6" s="486"/>
      <c r="E6" s="486"/>
      <c r="F6" s="500">
        <v>3</v>
      </c>
      <c r="G6" s="26"/>
      <c r="H6" s="26"/>
      <c r="I6" s="16"/>
      <c r="J6" s="16"/>
      <c r="K6" s="6"/>
      <c r="L6" s="99"/>
    </row>
    <row r="7" spans="1:15" s="30" customFormat="1" ht="30" customHeight="1" thickBot="1">
      <c r="A7" s="486"/>
      <c r="B7" s="486"/>
      <c r="C7" s="486"/>
      <c r="D7" s="486"/>
      <c r="E7" s="486"/>
      <c r="F7" s="500"/>
      <c r="H7" s="36"/>
      <c r="I7" s="12" t="s">
        <v>204</v>
      </c>
      <c r="J7" s="12" t="s">
        <v>205</v>
      </c>
      <c r="K7" s="13"/>
      <c r="L7" s="48" t="s">
        <v>211</v>
      </c>
      <c r="M7" s="48">
        <v>2</v>
      </c>
      <c r="N7" s="48" t="s">
        <v>286</v>
      </c>
      <c r="O7" s="48"/>
    </row>
    <row r="8" spans="1:15" ht="15.75" customHeight="1" thickBot="1">
      <c r="A8" s="488"/>
      <c r="B8" s="488"/>
      <c r="C8" s="488"/>
      <c r="D8" s="488"/>
      <c r="E8" s="488"/>
      <c r="F8" s="26"/>
      <c r="G8" s="39" t="s">
        <v>367</v>
      </c>
      <c r="H8" s="26"/>
      <c r="I8" s="73">
        <v>173.2</v>
      </c>
      <c r="J8" s="73"/>
      <c r="K8" s="47"/>
      <c r="L8" s="74" t="s">
        <v>210</v>
      </c>
      <c r="M8" s="74">
        <v>1.2</v>
      </c>
      <c r="N8" s="48" t="s">
        <v>287</v>
      </c>
      <c r="O8" s="48"/>
    </row>
    <row r="9" spans="1:15" ht="15.75" thickBot="1">
      <c r="A9" s="493" t="s">
        <v>372</v>
      </c>
      <c r="B9" s="490" t="s">
        <v>363</v>
      </c>
      <c r="C9" s="490" t="s">
        <v>369</v>
      </c>
      <c r="D9" s="489" t="s">
        <v>189</v>
      </c>
      <c r="E9" s="489" t="s">
        <v>366</v>
      </c>
      <c r="F9" s="490" t="s">
        <v>203</v>
      </c>
      <c r="G9" s="490" t="s">
        <v>368</v>
      </c>
      <c r="H9" s="40"/>
      <c r="I9" s="48">
        <v>45.23</v>
      </c>
      <c r="J9" s="48"/>
      <c r="K9" s="47"/>
      <c r="L9" s="48" t="s">
        <v>207</v>
      </c>
      <c r="M9" s="48">
        <v>6</v>
      </c>
      <c r="N9" s="48" t="s">
        <v>288</v>
      </c>
      <c r="O9" s="48"/>
    </row>
    <row r="10" spans="1:18" ht="15" thickBot="1">
      <c r="A10" s="494"/>
      <c r="B10" s="490"/>
      <c r="C10" s="490"/>
      <c r="D10" s="489"/>
      <c r="E10" s="489"/>
      <c r="F10" s="490"/>
      <c r="G10" s="490"/>
      <c r="H10" s="14"/>
      <c r="I10" s="48"/>
      <c r="J10" s="48"/>
      <c r="K10" s="47"/>
      <c r="L10" s="48" t="s">
        <v>213</v>
      </c>
      <c r="M10" s="48">
        <v>67</v>
      </c>
      <c r="N10" s="74" t="s">
        <v>252</v>
      </c>
      <c r="O10" s="74"/>
      <c r="P10" s="15"/>
      <c r="Q10" s="15"/>
      <c r="R10" s="15"/>
    </row>
    <row r="11" spans="1:15" ht="15" thickBo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2"/>
      <c r="I11" s="48"/>
      <c r="J11" s="48"/>
      <c r="K11" s="47"/>
      <c r="L11" s="48" t="s">
        <v>209</v>
      </c>
      <c r="M11" s="5">
        <v>1.6</v>
      </c>
      <c r="N11" s="48" t="s">
        <v>284</v>
      </c>
      <c r="O11" s="48"/>
    </row>
    <row r="12" spans="1:15" ht="14.25">
      <c r="A12" s="48">
        <v>1</v>
      </c>
      <c r="B12" s="357"/>
      <c r="C12" s="53" t="s">
        <v>258</v>
      </c>
      <c r="D12" s="48" t="s">
        <v>190</v>
      </c>
      <c r="E12" s="51">
        <f>M10*2</f>
        <v>134</v>
      </c>
      <c r="F12" s="377"/>
      <c r="G12" s="52">
        <f aca="true" t="shared" si="0" ref="G12:G18">E12*F12</f>
        <v>0</v>
      </c>
      <c r="H12" s="7"/>
      <c r="I12" s="48"/>
      <c r="J12" s="48"/>
      <c r="K12" s="47"/>
      <c r="L12" s="48" t="s">
        <v>208</v>
      </c>
      <c r="M12" s="48">
        <f>M7*M8*M9*2</f>
        <v>28.799999999999997</v>
      </c>
      <c r="N12" s="48" t="s">
        <v>285</v>
      </c>
      <c r="O12" s="48"/>
    </row>
    <row r="13" spans="1:15" ht="14.25">
      <c r="A13" s="48">
        <v>2</v>
      </c>
      <c r="B13" s="357"/>
      <c r="C13" s="53" t="s">
        <v>37</v>
      </c>
      <c r="D13" s="48" t="s">
        <v>190</v>
      </c>
      <c r="E13" s="51">
        <f>M7*3.5*2+O7*O11*2</f>
        <v>14</v>
      </c>
      <c r="F13" s="377"/>
      <c r="G13" s="52">
        <f t="shared" si="0"/>
        <v>0</v>
      </c>
      <c r="H13" s="7"/>
      <c r="I13" s="48"/>
      <c r="J13" s="48"/>
      <c r="K13" s="47"/>
      <c r="L13" s="48" t="s">
        <v>212</v>
      </c>
      <c r="M13" s="48">
        <v>2</v>
      </c>
      <c r="N13" s="48" t="s">
        <v>253</v>
      </c>
      <c r="O13" s="48"/>
    </row>
    <row r="14" spans="1:15" ht="28.5">
      <c r="A14" s="48">
        <v>3</v>
      </c>
      <c r="B14" s="357"/>
      <c r="C14" s="53" t="s">
        <v>260</v>
      </c>
      <c r="D14" s="48" t="s">
        <v>386</v>
      </c>
      <c r="E14" s="51">
        <f>M10*M11</f>
        <v>107.2</v>
      </c>
      <c r="F14" s="377"/>
      <c r="G14" s="52">
        <f t="shared" si="0"/>
        <v>0</v>
      </c>
      <c r="H14" s="7"/>
      <c r="I14" s="48"/>
      <c r="J14" s="48"/>
      <c r="K14" s="75"/>
      <c r="L14" s="48"/>
      <c r="M14" s="48"/>
      <c r="N14" s="48" t="s">
        <v>209</v>
      </c>
      <c r="O14" s="48"/>
    </row>
    <row r="15" spans="1:15" ht="28.5">
      <c r="A15" s="48">
        <v>4</v>
      </c>
      <c r="B15" s="357"/>
      <c r="C15" s="53" t="s">
        <v>38</v>
      </c>
      <c r="D15" s="48" t="s">
        <v>386</v>
      </c>
      <c r="E15" s="51">
        <f>M7*3.5*M8+O7*O11*O10</f>
        <v>8.4</v>
      </c>
      <c r="F15" s="377"/>
      <c r="G15" s="52">
        <f t="shared" si="0"/>
        <v>0</v>
      </c>
      <c r="H15" s="7"/>
      <c r="I15" s="48"/>
      <c r="J15" s="48"/>
      <c r="K15" s="75"/>
      <c r="L15" s="76"/>
      <c r="M15" s="76"/>
      <c r="N15" s="48" t="s">
        <v>216</v>
      </c>
      <c r="O15" s="48"/>
    </row>
    <row r="16" spans="1:13" ht="14.25">
      <c r="A16" s="48">
        <v>5</v>
      </c>
      <c r="B16" s="357"/>
      <c r="C16" s="53" t="s">
        <v>39</v>
      </c>
      <c r="D16" s="48" t="s">
        <v>190</v>
      </c>
      <c r="E16" s="51">
        <f>M7*1+O9*1</f>
        <v>2</v>
      </c>
      <c r="F16" s="377"/>
      <c r="G16" s="52">
        <f t="shared" si="0"/>
        <v>0</v>
      </c>
      <c r="H16" s="7"/>
      <c r="I16" s="48"/>
      <c r="J16" s="48"/>
      <c r="K16" s="75"/>
      <c r="L16" s="34"/>
      <c r="M16" s="34"/>
    </row>
    <row r="17" spans="1:13" ht="16.5">
      <c r="A17" s="48">
        <v>6</v>
      </c>
      <c r="B17" s="357"/>
      <c r="C17" s="53" t="s">
        <v>40</v>
      </c>
      <c r="D17" s="48" t="s">
        <v>386</v>
      </c>
      <c r="E17" s="51">
        <f>M7*1.5+O9*1.5</f>
        <v>3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28.5">
      <c r="A18" s="48">
        <v>7</v>
      </c>
      <c r="B18" s="357"/>
      <c r="C18" s="77" t="s">
        <v>268</v>
      </c>
      <c r="D18" s="50" t="s">
        <v>385</v>
      </c>
      <c r="E18" s="51">
        <f>(E14+E15+E17)*0.1</f>
        <v>11.860000000000001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96">
        <v>8</v>
      </c>
      <c r="B19" s="43"/>
      <c r="C19" s="44" t="s">
        <v>198</v>
      </c>
      <c r="D19" s="43"/>
      <c r="E19" s="43"/>
      <c r="F19" s="45"/>
      <c r="G19" s="45"/>
      <c r="H19" s="7"/>
      <c r="I19" s="48"/>
      <c r="J19" s="48"/>
      <c r="K19" s="75"/>
      <c r="L19" s="34"/>
      <c r="M19" s="34"/>
    </row>
    <row r="20" spans="1:12" ht="16.5">
      <c r="A20" s="497">
        <f>A19+1</f>
        <v>9</v>
      </c>
      <c r="B20" s="357"/>
      <c r="C20" s="49" t="s">
        <v>264</v>
      </c>
      <c r="D20" s="50" t="s">
        <v>385</v>
      </c>
      <c r="E20" s="51">
        <f>0.7*I21</f>
        <v>152.90099999999998</v>
      </c>
      <c r="F20" s="377"/>
      <c r="G20" s="52">
        <f>E20*F20</f>
        <v>0</v>
      </c>
      <c r="H20" s="7"/>
      <c r="I20" s="48"/>
      <c r="J20" s="48"/>
      <c r="K20" s="75"/>
      <c r="L20" s="34"/>
    </row>
    <row r="21" spans="1:12" ht="16.5">
      <c r="A21" s="497">
        <f>A20+1</f>
        <v>10</v>
      </c>
      <c r="B21" s="357"/>
      <c r="C21" s="53" t="s">
        <v>263</v>
      </c>
      <c r="D21" s="50" t="s">
        <v>385</v>
      </c>
      <c r="E21" s="51">
        <f>0.05*I21</f>
        <v>10.9215</v>
      </c>
      <c r="F21" s="377"/>
      <c r="G21" s="52">
        <f>E21*F21</f>
        <v>0</v>
      </c>
      <c r="H21" s="7"/>
      <c r="I21" s="76">
        <f>SUM(I8:I20)</f>
        <v>218.42999999999998</v>
      </c>
      <c r="J21" s="76">
        <f>SUM(J8:J20)</f>
        <v>0</v>
      </c>
      <c r="K21" s="48">
        <f>SUM(I21:J21)</f>
        <v>218.42999999999998</v>
      </c>
      <c r="L21" s="34"/>
    </row>
    <row r="22" spans="1:11" ht="16.5">
      <c r="A22" s="498">
        <f>A21+1</f>
        <v>11</v>
      </c>
      <c r="B22" s="357"/>
      <c r="C22" s="49" t="s">
        <v>265</v>
      </c>
      <c r="D22" s="50" t="s">
        <v>385</v>
      </c>
      <c r="E22" s="51">
        <f>0.25*I21</f>
        <v>54.607499999999995</v>
      </c>
      <c r="F22" s="377"/>
      <c r="G22" s="52">
        <f>E22*F22</f>
        <v>0</v>
      </c>
      <c r="H22" s="7"/>
      <c r="I22" s="34"/>
      <c r="J22" s="34"/>
      <c r="K22" s="34"/>
    </row>
    <row r="23" spans="1:11" ht="15" customHeight="1">
      <c r="A23" s="496">
        <v>9</v>
      </c>
      <c r="B23" s="48"/>
      <c r="C23" s="53" t="s">
        <v>244</v>
      </c>
      <c r="D23" s="96"/>
      <c r="E23" s="96"/>
      <c r="F23" s="52"/>
      <c r="G23" s="97"/>
      <c r="H23" s="7"/>
      <c r="I23" s="34"/>
      <c r="J23" s="34"/>
      <c r="K23" s="34"/>
    </row>
    <row r="24" spans="1:11" ht="15" customHeight="1">
      <c r="A24" s="497"/>
      <c r="B24" s="357"/>
      <c r="C24" s="49" t="s">
        <v>199</v>
      </c>
      <c r="D24" s="50" t="s">
        <v>385</v>
      </c>
      <c r="E24" s="51">
        <f>0.6*M12</f>
        <v>17.279999999999998</v>
      </c>
      <c r="F24" s="377"/>
      <c r="G24" s="52">
        <f aca="true" t="shared" si="1" ref="G24:G44">E24*F24</f>
        <v>0</v>
      </c>
      <c r="H24" s="7"/>
      <c r="I24" s="34"/>
      <c r="J24" s="34"/>
      <c r="K24" s="34"/>
    </row>
    <row r="25" spans="1:11" ht="16.5">
      <c r="A25" s="497"/>
      <c r="B25" s="357"/>
      <c r="C25" s="53" t="s">
        <v>266</v>
      </c>
      <c r="D25" s="50" t="s">
        <v>385</v>
      </c>
      <c r="E25" s="51">
        <f>0.05*M12</f>
        <v>1.44</v>
      </c>
      <c r="F25" s="377"/>
      <c r="G25" s="52">
        <f t="shared" si="1"/>
        <v>0</v>
      </c>
      <c r="H25" s="7"/>
      <c r="I25" s="34"/>
      <c r="J25" s="34"/>
      <c r="K25" s="34"/>
    </row>
    <row r="26" spans="1:11" ht="16.5">
      <c r="A26" s="498"/>
      <c r="B26" s="357"/>
      <c r="C26" s="49" t="s">
        <v>267</v>
      </c>
      <c r="D26" s="50" t="s">
        <v>385</v>
      </c>
      <c r="E26" s="51">
        <f>0.35*M12</f>
        <v>10.079999999999998</v>
      </c>
      <c r="F26" s="377"/>
      <c r="G26" s="52">
        <f t="shared" si="1"/>
        <v>0</v>
      </c>
      <c r="H26" s="7"/>
      <c r="I26" s="34"/>
      <c r="J26" s="34"/>
      <c r="K26" s="34"/>
    </row>
    <row r="27" spans="1:11" ht="28.5">
      <c r="A27" s="48">
        <v>10</v>
      </c>
      <c r="B27" s="357"/>
      <c r="C27" s="80" t="s">
        <v>196</v>
      </c>
      <c r="D27" s="50" t="s">
        <v>385</v>
      </c>
      <c r="E27" s="51">
        <f>E22+E26</f>
        <v>64.6875</v>
      </c>
      <c r="F27" s="377"/>
      <c r="G27" s="52">
        <f t="shared" si="1"/>
        <v>0</v>
      </c>
      <c r="H27" s="7"/>
      <c r="I27" s="34"/>
      <c r="J27" s="34"/>
      <c r="K27" s="34"/>
    </row>
    <row r="28" spans="1:11" ht="15" customHeight="1">
      <c r="A28" s="48">
        <v>11</v>
      </c>
      <c r="B28" s="357"/>
      <c r="C28" s="55" t="s">
        <v>197</v>
      </c>
      <c r="D28" s="50" t="s">
        <v>385</v>
      </c>
      <c r="E28" s="81">
        <f>E27</f>
        <v>64.6875</v>
      </c>
      <c r="F28" s="377"/>
      <c r="G28" s="52">
        <f t="shared" si="1"/>
        <v>0</v>
      </c>
      <c r="H28" s="7"/>
      <c r="I28" s="34"/>
      <c r="J28" s="34"/>
      <c r="K28" s="34"/>
    </row>
    <row r="29" spans="1:11" ht="28.5">
      <c r="A29" s="48">
        <v>12</v>
      </c>
      <c r="B29" s="357"/>
      <c r="C29" s="80" t="s">
        <v>269</v>
      </c>
      <c r="D29" s="50" t="s">
        <v>385</v>
      </c>
      <c r="E29" s="51">
        <f>K21+M12</f>
        <v>247.22999999999996</v>
      </c>
      <c r="F29" s="377"/>
      <c r="G29" s="52">
        <f t="shared" si="1"/>
        <v>0</v>
      </c>
      <c r="H29" s="7"/>
      <c r="I29" s="34"/>
      <c r="J29" s="34"/>
      <c r="K29" s="34"/>
    </row>
    <row r="30" spans="1:11" ht="16.5">
      <c r="A30" s="48">
        <v>13</v>
      </c>
      <c r="B30" s="357"/>
      <c r="C30" s="49" t="s">
        <v>387</v>
      </c>
      <c r="D30" s="48" t="s">
        <v>386</v>
      </c>
      <c r="E30" s="48">
        <f>M10*4</f>
        <v>268</v>
      </c>
      <c r="F30" s="377"/>
      <c r="G30" s="52">
        <f t="shared" si="1"/>
        <v>0</v>
      </c>
      <c r="H30" s="7"/>
      <c r="I30" s="34"/>
      <c r="J30" s="34"/>
      <c r="K30" s="34"/>
    </row>
    <row r="31" spans="1:11" ht="15" customHeight="1">
      <c r="A31" s="48">
        <v>14</v>
      </c>
      <c r="B31" s="357"/>
      <c r="C31" s="80" t="s">
        <v>42</v>
      </c>
      <c r="D31" s="50" t="s">
        <v>385</v>
      </c>
      <c r="E31" s="51">
        <f>0.1*1.1*E33</f>
        <v>7.370000000000001</v>
      </c>
      <c r="F31" s="377"/>
      <c r="G31" s="52">
        <f t="shared" si="1"/>
        <v>0</v>
      </c>
      <c r="H31" s="7"/>
      <c r="I31" s="34"/>
      <c r="J31" s="34"/>
      <c r="K31" s="34"/>
    </row>
    <row r="32" spans="1:11" ht="42.75">
      <c r="A32" s="48">
        <v>15</v>
      </c>
      <c r="B32" s="357"/>
      <c r="C32" s="53" t="s">
        <v>296</v>
      </c>
      <c r="D32" s="50" t="s">
        <v>385</v>
      </c>
      <c r="E32" s="51">
        <f>E29-E31-E42-4.73</f>
        <v>192.91999999999996</v>
      </c>
      <c r="F32" s="377"/>
      <c r="G32" s="52">
        <f t="shared" si="1"/>
        <v>0</v>
      </c>
      <c r="H32" s="7"/>
      <c r="I32" s="34"/>
      <c r="J32" s="34"/>
      <c r="K32" s="34"/>
    </row>
    <row r="33" spans="1:11" ht="14.25">
      <c r="A33" s="48">
        <v>16</v>
      </c>
      <c r="B33" s="357"/>
      <c r="C33" s="53" t="s">
        <v>291</v>
      </c>
      <c r="D33" s="48" t="s">
        <v>190</v>
      </c>
      <c r="E33" s="48">
        <v>67</v>
      </c>
      <c r="F33" s="377"/>
      <c r="G33" s="52">
        <f t="shared" si="1"/>
        <v>0</v>
      </c>
      <c r="H33" s="7"/>
      <c r="I33" s="34"/>
      <c r="J33" s="34"/>
      <c r="K33" s="51"/>
    </row>
    <row r="34" spans="1:15" s="30" customFormat="1" ht="28.5">
      <c r="A34" s="48">
        <v>17</v>
      </c>
      <c r="B34" s="357"/>
      <c r="C34" s="53" t="s">
        <v>309</v>
      </c>
      <c r="D34" s="48" t="s">
        <v>191</v>
      </c>
      <c r="E34" s="48">
        <v>2</v>
      </c>
      <c r="F34" s="377"/>
      <c r="G34" s="52">
        <f t="shared" si="1"/>
        <v>0</v>
      </c>
      <c r="H34" s="7"/>
      <c r="I34" s="29"/>
      <c r="J34" s="29"/>
      <c r="K34" s="29"/>
      <c r="L34" s="29"/>
      <c r="N34" s="29"/>
      <c r="O34" s="29"/>
    </row>
    <row r="35" spans="1:8" ht="15" customHeight="1">
      <c r="A35" s="48">
        <v>18</v>
      </c>
      <c r="B35" s="357"/>
      <c r="C35" s="53" t="s">
        <v>200</v>
      </c>
      <c r="D35" s="48" t="s">
        <v>191</v>
      </c>
      <c r="E35" s="48">
        <f>M7</f>
        <v>2</v>
      </c>
      <c r="F35" s="377"/>
      <c r="G35" s="52">
        <f t="shared" si="1"/>
        <v>0</v>
      </c>
      <c r="H35" s="7"/>
    </row>
    <row r="36" spans="1:11" ht="30" customHeight="1">
      <c r="A36" s="48">
        <v>19</v>
      </c>
      <c r="B36" s="357"/>
      <c r="C36" s="53" t="s">
        <v>233</v>
      </c>
      <c r="D36" s="48" t="s">
        <v>191</v>
      </c>
      <c r="E36" s="51">
        <v>2</v>
      </c>
      <c r="F36" s="377"/>
      <c r="G36" s="52">
        <f t="shared" si="1"/>
        <v>0</v>
      </c>
      <c r="H36" s="7"/>
      <c r="I36" s="30"/>
      <c r="J36" s="30"/>
      <c r="K36" s="30"/>
    </row>
    <row r="37" spans="1:8" ht="14.25">
      <c r="A37" s="48">
        <v>20</v>
      </c>
      <c r="B37" s="357"/>
      <c r="C37" s="49" t="s">
        <v>192</v>
      </c>
      <c r="D37" s="48" t="s">
        <v>193</v>
      </c>
      <c r="E37" s="51">
        <f>40*M10/2000</f>
        <v>1.34</v>
      </c>
      <c r="F37" s="377"/>
      <c r="G37" s="52">
        <f t="shared" si="1"/>
        <v>0</v>
      </c>
      <c r="H37" s="7"/>
    </row>
    <row r="38" spans="1:13" ht="14.25">
      <c r="A38" s="48">
        <v>21</v>
      </c>
      <c r="B38" s="357"/>
      <c r="C38" s="95" t="s">
        <v>282</v>
      </c>
      <c r="D38" s="48" t="s">
        <v>190</v>
      </c>
      <c r="E38" s="51">
        <f>E16</f>
        <v>2</v>
      </c>
      <c r="F38" s="377"/>
      <c r="G38" s="52">
        <f t="shared" si="1"/>
        <v>0</v>
      </c>
      <c r="H38" s="7"/>
      <c r="M38" s="34"/>
    </row>
    <row r="39" spans="1:8" ht="16.5">
      <c r="A39" s="48">
        <v>22</v>
      </c>
      <c r="B39" s="357"/>
      <c r="C39" s="95" t="s">
        <v>283</v>
      </c>
      <c r="D39" s="48" t="s">
        <v>386</v>
      </c>
      <c r="E39" s="51">
        <f>E17</f>
        <v>3</v>
      </c>
      <c r="F39" s="377"/>
      <c r="G39" s="52">
        <f t="shared" si="1"/>
        <v>0</v>
      </c>
      <c r="H39" s="7"/>
    </row>
    <row r="40" spans="1:15" s="30" customFormat="1" ht="28.5">
      <c r="A40" s="48">
        <v>23</v>
      </c>
      <c r="B40" s="357"/>
      <c r="C40" s="77" t="s">
        <v>293</v>
      </c>
      <c r="D40" s="48" t="s">
        <v>195</v>
      </c>
      <c r="E40" s="82">
        <f>(E14+E15)*96/1000</f>
        <v>11.0976</v>
      </c>
      <c r="F40" s="377"/>
      <c r="G40" s="52">
        <f t="shared" si="1"/>
        <v>0</v>
      </c>
      <c r="H40" s="34"/>
      <c r="I40" s="34"/>
      <c r="J40" s="29"/>
      <c r="N40" s="34"/>
      <c r="O40" s="29"/>
    </row>
    <row r="41" spans="1:14" ht="28.5">
      <c r="A41" s="48">
        <v>24</v>
      </c>
      <c r="B41" s="357"/>
      <c r="C41" s="77" t="s">
        <v>20</v>
      </c>
      <c r="D41" s="48" t="s">
        <v>195</v>
      </c>
      <c r="E41" s="82">
        <f>(E14+E15)*0.06*2.4</f>
        <v>16.6464</v>
      </c>
      <c r="F41" s="377"/>
      <c r="G41" s="52">
        <f t="shared" si="1"/>
        <v>0</v>
      </c>
      <c r="H41" s="34"/>
      <c r="I41" s="34"/>
      <c r="N41" s="34"/>
    </row>
    <row r="42" spans="1:8" ht="28.5">
      <c r="A42" s="48">
        <v>25</v>
      </c>
      <c r="B42" s="357"/>
      <c r="C42" s="53" t="s">
        <v>21</v>
      </c>
      <c r="D42" s="83" t="s">
        <v>385</v>
      </c>
      <c r="E42" s="85">
        <v>42.21</v>
      </c>
      <c r="F42" s="377"/>
      <c r="G42" s="52">
        <f t="shared" si="1"/>
        <v>0</v>
      </c>
      <c r="H42" s="7"/>
    </row>
    <row r="43" spans="1:15" ht="14.25">
      <c r="A43" s="48">
        <v>26</v>
      </c>
      <c r="B43" s="357"/>
      <c r="C43" s="77" t="s">
        <v>194</v>
      </c>
      <c r="D43" s="74" t="s">
        <v>190</v>
      </c>
      <c r="E43" s="85">
        <f>E12+E13</f>
        <v>148</v>
      </c>
      <c r="F43" s="377"/>
      <c r="G43" s="52">
        <f t="shared" si="1"/>
        <v>0</v>
      </c>
      <c r="H43" s="7"/>
      <c r="N43" s="30"/>
      <c r="O43" s="30"/>
    </row>
    <row r="44" spans="1:15" s="2" customFormat="1" ht="14.25">
      <c r="A44" s="48">
        <v>27</v>
      </c>
      <c r="B44" s="357"/>
      <c r="C44" s="55" t="s">
        <v>201</v>
      </c>
      <c r="D44" s="50" t="s">
        <v>190</v>
      </c>
      <c r="E44" s="50">
        <f>M10</f>
        <v>67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0"/>
      <c r="O44" s="30"/>
    </row>
    <row r="45" spans="5:8" ht="15">
      <c r="E45" s="57"/>
      <c r="F45" s="58" t="s">
        <v>364</v>
      </c>
      <c r="G45" s="59">
        <f>SUM(G12:G44)</f>
        <v>0</v>
      </c>
      <c r="H45" s="7"/>
    </row>
    <row r="46" spans="5:8" ht="15">
      <c r="E46" s="484" t="s">
        <v>206</v>
      </c>
      <c r="F46" s="484"/>
      <c r="G46" s="59">
        <f>G45*0.2</f>
        <v>0</v>
      </c>
      <c r="H46" s="7"/>
    </row>
    <row r="47" spans="3:7" ht="15">
      <c r="C47" s="26"/>
      <c r="E47" s="57"/>
      <c r="F47" s="60" t="s">
        <v>365</v>
      </c>
      <c r="G47" s="59">
        <f>SUM(G45:G46)</f>
        <v>0</v>
      </c>
    </row>
    <row r="48" spans="3:5" ht="14.25">
      <c r="C48" s="61"/>
      <c r="D48" s="62"/>
      <c r="E48" s="62"/>
    </row>
    <row r="49" spans="2:16" ht="18.75">
      <c r="B49" s="63" t="s">
        <v>370</v>
      </c>
      <c r="C49" s="64" t="s">
        <v>371</v>
      </c>
      <c r="D49" s="62"/>
      <c r="E49" s="62"/>
      <c r="H49" s="28"/>
      <c r="I49" s="28"/>
      <c r="J49" s="28"/>
      <c r="K49" s="28"/>
      <c r="L49" s="28"/>
      <c r="M49" s="28"/>
      <c r="N49" s="28"/>
      <c r="O49" s="28"/>
      <c r="P49" s="28"/>
    </row>
    <row r="50" spans="8:16" ht="14.25"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5" customHeight="1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1:6" s="67" customFormat="1" ht="15">
      <c r="A53" s="65" t="s">
        <v>373</v>
      </c>
      <c r="B53" s="2"/>
      <c r="C53" s="65"/>
      <c r="D53" s="66" t="s">
        <v>374</v>
      </c>
      <c r="E53" s="24"/>
      <c r="F53" s="426"/>
    </row>
    <row r="54" spans="1:6" s="67" customFormat="1" ht="12.75">
      <c r="A54" s="11"/>
      <c r="B54" s="2"/>
      <c r="C54" s="11"/>
      <c r="D54" s="2"/>
      <c r="E54" s="24"/>
      <c r="F54" s="426"/>
    </row>
    <row r="55" spans="1:6" s="67" customFormat="1" ht="14.25">
      <c r="A55" s="11"/>
      <c r="B55" s="2"/>
      <c r="C55" s="68"/>
      <c r="D55" s="69" t="s">
        <v>375</v>
      </c>
      <c r="E55" s="24"/>
      <c r="F55" s="426"/>
    </row>
    <row r="56" spans="1:6" s="67" customFormat="1" ht="12.75">
      <c r="A56" s="11"/>
      <c r="B56" s="2"/>
      <c r="C56" s="11"/>
      <c r="D56" s="2"/>
      <c r="E56" s="70" t="s">
        <v>376</v>
      </c>
      <c r="F56" s="426"/>
    </row>
    <row r="57" spans="1:6" s="67" customFormat="1" ht="14.25">
      <c r="A57" s="11"/>
      <c r="B57" s="2"/>
      <c r="C57" s="68"/>
      <c r="D57" s="69" t="s">
        <v>377</v>
      </c>
      <c r="E57" s="24"/>
      <c r="F57" s="426"/>
    </row>
    <row r="58" spans="1:6" s="67" customFormat="1" ht="12.75">
      <c r="A58" s="11"/>
      <c r="B58" s="2"/>
      <c r="C58" s="11"/>
      <c r="D58" s="71" t="s">
        <v>378</v>
      </c>
      <c r="E58" s="24"/>
      <c r="F58" s="426"/>
    </row>
  </sheetData>
  <sheetProtection sheet="1" formatCells="0" formatColumns="0" formatRows="0" insertColumns="0" insertRows="0" insertHyperlinks="0" deleteColumns="0" deleteRows="0"/>
  <protectedRanges>
    <protectedRange password="CF7A" sqref="F46 E45:E47" name="Range1"/>
    <protectedRange password="CF7A" sqref="A9:A11 C9:E11 B9 B11" name="Range1_2"/>
    <protectedRange password="CF7A" sqref="A49:E58" name="Range1_1"/>
    <protectedRange password="CF7A" sqref="A6:E7" name="Range1_3"/>
  </protectedRanges>
  <mergeCells count="18">
    <mergeCell ref="F9:F10"/>
    <mergeCell ref="G9:G10"/>
    <mergeCell ref="E46:F46"/>
    <mergeCell ref="A23:A26"/>
    <mergeCell ref="A19:A22"/>
    <mergeCell ref="A9:A10"/>
    <mergeCell ref="B9:B10"/>
    <mergeCell ref="C9:C10"/>
    <mergeCell ref="D9:D10"/>
    <mergeCell ref="E9:E10"/>
    <mergeCell ref="C5:G5"/>
    <mergeCell ref="A8:E8"/>
    <mergeCell ref="A6:E7"/>
    <mergeCell ref="F6:F7"/>
    <mergeCell ref="C1:G1"/>
    <mergeCell ref="C4:G4"/>
    <mergeCell ref="C3:G3"/>
    <mergeCell ref="A4:B4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2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T163"/>
  <sheetViews>
    <sheetView tabSelected="1" zoomScale="96" zoomScaleNormal="96" zoomScalePageLayoutView="0" workbookViewId="0" topLeftCell="A134">
      <selection activeCell="F154" sqref="F154"/>
    </sheetView>
  </sheetViews>
  <sheetFormatPr defaultColWidth="9.140625" defaultRowHeight="12.75"/>
  <cols>
    <col min="1" max="1" width="7.421875" style="142" customWidth="1"/>
    <col min="2" max="2" width="20.57421875" style="142" customWidth="1"/>
    <col min="3" max="3" width="58.57421875" style="141" customWidth="1"/>
    <col min="4" max="4" width="10.421875" style="141" customWidth="1"/>
    <col min="5" max="5" width="9.57421875" style="143" customWidth="1"/>
    <col min="6" max="6" width="10.7109375" style="142" customWidth="1"/>
    <col min="7" max="7" width="16.57421875" style="145" customWidth="1"/>
    <col min="8" max="8" width="9.140625" style="141" hidden="1" customWidth="1"/>
    <col min="9" max="16384" width="9.140625" style="141" customWidth="1"/>
  </cols>
  <sheetData>
    <row r="1" spans="1:7" ht="15">
      <c r="A1" s="463"/>
      <c r="B1" s="447" t="s">
        <v>560</v>
      </c>
      <c r="C1" s="474" t="s">
        <v>380</v>
      </c>
      <c r="D1" s="474"/>
      <c r="E1" s="474"/>
      <c r="F1" s="474"/>
      <c r="G1" s="474"/>
    </row>
    <row r="2" spans="1:7" ht="15">
      <c r="A2" s="464"/>
      <c r="B2" s="447" t="s">
        <v>561</v>
      </c>
      <c r="C2" s="203" t="s">
        <v>564</v>
      </c>
      <c r="E2" s="141"/>
      <c r="F2" s="445"/>
      <c r="G2" s="141"/>
    </row>
    <row r="3" spans="1:7" ht="30.75" customHeight="1">
      <c r="A3" s="463"/>
      <c r="B3" s="448" t="s">
        <v>558</v>
      </c>
      <c r="C3" s="479"/>
      <c r="D3" s="479"/>
      <c r="E3" s="479"/>
      <c r="F3" s="479"/>
      <c r="G3" s="479"/>
    </row>
    <row r="4" spans="1:7" ht="18" customHeight="1">
      <c r="A4" s="471" t="s">
        <v>559</v>
      </c>
      <c r="B4" s="471"/>
      <c r="C4" s="474"/>
      <c r="D4" s="474"/>
      <c r="E4" s="474"/>
      <c r="F4" s="474"/>
      <c r="G4" s="474"/>
    </row>
    <row r="5" spans="1:9" s="137" customFormat="1" ht="15" customHeight="1">
      <c r="A5" s="183"/>
      <c r="B5" s="465" t="s">
        <v>18</v>
      </c>
      <c r="C5" s="35" t="s">
        <v>445</v>
      </c>
      <c r="D5" s="35"/>
      <c r="E5" s="35"/>
      <c r="F5" s="211"/>
      <c r="G5" s="211"/>
      <c r="H5" s="35"/>
      <c r="I5" s="35"/>
    </row>
    <row r="6" spans="1:8" s="137" customFormat="1" ht="15">
      <c r="A6" s="183"/>
      <c r="B6" s="466" t="s">
        <v>440</v>
      </c>
      <c r="C6" s="168" t="s">
        <v>446</v>
      </c>
      <c r="D6" s="166"/>
      <c r="E6" s="138"/>
      <c r="F6" s="138"/>
      <c r="G6" s="138"/>
      <c r="H6" s="138"/>
    </row>
    <row r="7" spans="1:8" s="137" customFormat="1" ht="15">
      <c r="A7" s="139"/>
      <c r="B7" s="139"/>
      <c r="C7" s="518"/>
      <c r="D7" s="518"/>
      <c r="E7" s="518"/>
      <c r="F7" s="518"/>
      <c r="G7" s="518"/>
      <c r="H7" s="518"/>
    </row>
    <row r="8" spans="1:7" s="137" customFormat="1" ht="21">
      <c r="A8" s="516" t="s">
        <v>438</v>
      </c>
      <c r="B8" s="516"/>
      <c r="C8" s="516"/>
      <c r="D8" s="516"/>
      <c r="E8" s="516"/>
      <c r="F8" s="163" t="s">
        <v>439</v>
      </c>
      <c r="G8" s="164"/>
    </row>
    <row r="9" spans="1:8" s="29" customFormat="1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</row>
    <row r="10" spans="1:8" s="29" customFormat="1" ht="15.75" customHeight="1" thickBot="1">
      <c r="A10" s="493" t="s">
        <v>372</v>
      </c>
      <c r="B10" s="490" t="s">
        <v>363</v>
      </c>
      <c r="C10" s="490" t="s">
        <v>369</v>
      </c>
      <c r="D10" s="493" t="s">
        <v>189</v>
      </c>
      <c r="E10" s="493" t="s">
        <v>366</v>
      </c>
      <c r="F10" s="511" t="s">
        <v>203</v>
      </c>
      <c r="G10" s="511" t="s">
        <v>368</v>
      </c>
      <c r="H10" s="40"/>
    </row>
    <row r="11" spans="1:8" s="29" customFormat="1" ht="29.25" customHeight="1" thickBot="1">
      <c r="A11" s="494"/>
      <c r="B11" s="490"/>
      <c r="C11" s="490"/>
      <c r="D11" s="494"/>
      <c r="E11" s="494"/>
      <c r="F11" s="512"/>
      <c r="G11" s="512"/>
      <c r="H11" s="140"/>
    </row>
    <row r="12" spans="1:8" s="29" customFormat="1" ht="15.75" thickBot="1">
      <c r="A12" s="41">
        <v>1</v>
      </c>
      <c r="B12" s="367">
        <v>2</v>
      </c>
      <c r="C12" s="41">
        <v>3</v>
      </c>
      <c r="D12" s="41">
        <v>4</v>
      </c>
      <c r="E12" s="41">
        <v>5</v>
      </c>
      <c r="F12" s="367">
        <v>6</v>
      </c>
      <c r="G12" s="41">
        <v>7</v>
      </c>
      <c r="H12" s="42"/>
    </row>
    <row r="13" spans="1:7" ht="16.5">
      <c r="A13" s="129">
        <v>1</v>
      </c>
      <c r="B13" s="356"/>
      <c r="C13" s="44" t="s">
        <v>405</v>
      </c>
      <c r="D13" s="130" t="s">
        <v>385</v>
      </c>
      <c r="E13" s="173">
        <v>121</v>
      </c>
      <c r="F13" s="359"/>
      <c r="G13" s="132">
        <f>E13*F13</f>
        <v>0</v>
      </c>
    </row>
    <row r="14" spans="1:7" ht="16.5">
      <c r="A14" s="48">
        <v>2</v>
      </c>
      <c r="B14" s="357"/>
      <c r="C14" s="133" t="s">
        <v>406</v>
      </c>
      <c r="D14" s="130" t="s">
        <v>385</v>
      </c>
      <c r="E14" s="173">
        <v>103</v>
      </c>
      <c r="F14" s="359"/>
      <c r="G14" s="171">
        <f aca="true" t="shared" si="0" ref="G14:G20">E14*F14</f>
        <v>0</v>
      </c>
    </row>
    <row r="15" spans="1:7" ht="30" customHeight="1">
      <c r="A15" s="43">
        <v>3</v>
      </c>
      <c r="B15" s="358"/>
      <c r="C15" s="172" t="s">
        <v>407</v>
      </c>
      <c r="D15" s="43" t="s">
        <v>385</v>
      </c>
      <c r="E15" s="45">
        <v>18.5</v>
      </c>
      <c r="F15" s="360"/>
      <c r="G15" s="171">
        <f t="shared" si="0"/>
        <v>0</v>
      </c>
    </row>
    <row r="16" spans="1:7" ht="16.5">
      <c r="A16" s="48">
        <v>4</v>
      </c>
      <c r="B16" s="357"/>
      <c r="C16" s="133" t="s">
        <v>408</v>
      </c>
      <c r="D16" s="130" t="s">
        <v>386</v>
      </c>
      <c r="E16" s="173">
        <v>22.5</v>
      </c>
      <c r="F16" s="359"/>
      <c r="G16" s="171">
        <f t="shared" si="0"/>
        <v>0</v>
      </c>
    </row>
    <row r="17" spans="1:7" ht="14.25">
      <c r="A17" s="48">
        <v>5</v>
      </c>
      <c r="B17" s="357"/>
      <c r="C17" s="133" t="s">
        <v>409</v>
      </c>
      <c r="D17" s="130" t="s">
        <v>251</v>
      </c>
      <c r="E17" s="173">
        <v>927</v>
      </c>
      <c r="F17" s="359"/>
      <c r="G17" s="171">
        <f t="shared" si="0"/>
        <v>0</v>
      </c>
    </row>
    <row r="18" spans="1:7" ht="16.5">
      <c r="A18" s="48">
        <v>6</v>
      </c>
      <c r="B18" s="357"/>
      <c r="C18" s="133" t="s">
        <v>410</v>
      </c>
      <c r="D18" s="130" t="s">
        <v>385</v>
      </c>
      <c r="E18" s="173">
        <v>1.5</v>
      </c>
      <c r="F18" s="359"/>
      <c r="G18" s="171">
        <f t="shared" si="0"/>
        <v>0</v>
      </c>
    </row>
    <row r="19" spans="1:7" ht="16.5">
      <c r="A19" s="48">
        <v>7</v>
      </c>
      <c r="B19" s="357"/>
      <c r="C19" s="133" t="s">
        <v>411</v>
      </c>
      <c r="D19" s="130" t="s">
        <v>385</v>
      </c>
      <c r="E19" s="173">
        <v>6</v>
      </c>
      <c r="F19" s="359"/>
      <c r="G19" s="171">
        <f t="shared" si="0"/>
        <v>0</v>
      </c>
    </row>
    <row r="20" spans="1:7" ht="16.5">
      <c r="A20" s="48">
        <v>8</v>
      </c>
      <c r="B20" s="357"/>
      <c r="C20" s="133" t="s">
        <v>412</v>
      </c>
      <c r="D20" s="130" t="s">
        <v>386</v>
      </c>
      <c r="E20" s="173">
        <v>21</v>
      </c>
      <c r="F20" s="359"/>
      <c r="G20" s="171">
        <f t="shared" si="0"/>
        <v>0</v>
      </c>
    </row>
    <row r="21" spans="5:8" s="29" customFormat="1" ht="15">
      <c r="E21" s="57"/>
      <c r="F21" s="58" t="s">
        <v>364</v>
      </c>
      <c r="G21" s="59">
        <f>SUM(G13:G20)</f>
        <v>0</v>
      </c>
      <c r="H21" s="7"/>
    </row>
    <row r="22" spans="5:8" s="29" customFormat="1" ht="15">
      <c r="E22" s="484" t="s">
        <v>206</v>
      </c>
      <c r="F22" s="484"/>
      <c r="G22" s="59">
        <f>G21*0.2</f>
        <v>0</v>
      </c>
      <c r="H22" s="7"/>
    </row>
    <row r="23" spans="3:8" s="29" customFormat="1" ht="15">
      <c r="C23" s="26"/>
      <c r="E23" s="57"/>
      <c r="F23" s="60" t="s">
        <v>365</v>
      </c>
      <c r="G23" s="59">
        <f>G21+G22</f>
        <v>0</v>
      </c>
      <c r="H23" s="7"/>
    </row>
    <row r="24" spans="3:16" s="29" customFormat="1" ht="14.25">
      <c r="C24" s="61"/>
      <c r="D24" s="62"/>
      <c r="E24" s="62"/>
      <c r="H24" s="7"/>
      <c r="O24" s="3"/>
      <c r="P24" s="6"/>
    </row>
    <row r="25" spans="2:16" s="29" customFormat="1" ht="18.75">
      <c r="B25" s="370" t="s">
        <v>370</v>
      </c>
      <c r="C25" s="64" t="s">
        <v>371</v>
      </c>
      <c r="D25" s="62"/>
      <c r="E25" s="62"/>
      <c r="H25" s="28"/>
      <c r="I25" s="28"/>
      <c r="J25" s="28"/>
      <c r="K25" s="28"/>
      <c r="L25" s="28"/>
      <c r="M25" s="28"/>
      <c r="N25" s="28"/>
      <c r="O25" s="28"/>
      <c r="P25" s="28"/>
    </row>
    <row r="26" spans="8:16" s="29" customFormat="1" ht="14.25">
      <c r="H26" s="28"/>
      <c r="I26" s="28"/>
      <c r="J26" s="28"/>
      <c r="K26" s="28"/>
      <c r="L26" s="28"/>
      <c r="M26" s="28"/>
      <c r="N26" s="28"/>
      <c r="O26" s="28"/>
      <c r="P26" s="28"/>
    </row>
    <row r="27" spans="8:16" s="29" customFormat="1" ht="15" customHeight="1">
      <c r="H27" s="28"/>
      <c r="I27" s="28"/>
      <c r="J27" s="28"/>
      <c r="K27" s="28"/>
      <c r="L27" s="28"/>
      <c r="M27" s="28"/>
      <c r="N27" s="28"/>
      <c r="O27" s="28"/>
      <c r="P27" s="28"/>
    </row>
    <row r="28" spans="8:16" s="29" customFormat="1" ht="14.25">
      <c r="H28" s="28"/>
      <c r="I28" s="28"/>
      <c r="J28" s="28"/>
      <c r="K28" s="28"/>
      <c r="L28" s="28"/>
      <c r="M28" s="28"/>
      <c r="N28" s="28"/>
      <c r="O28" s="28"/>
      <c r="P28" s="28"/>
    </row>
    <row r="29" spans="1:5" s="67" customFormat="1" ht="15">
      <c r="A29" s="187" t="s">
        <v>373</v>
      </c>
      <c r="B29" s="2"/>
      <c r="C29" s="65"/>
      <c r="D29" s="66" t="s">
        <v>374</v>
      </c>
      <c r="E29" s="24"/>
    </row>
    <row r="30" spans="1:5" s="67" customFormat="1" ht="12.75">
      <c r="A30" s="2"/>
      <c r="B30" s="2"/>
      <c r="C30" s="11"/>
      <c r="D30" s="2"/>
      <c r="E30" s="24"/>
    </row>
    <row r="31" spans="1:5" s="67" customFormat="1" ht="14.25">
      <c r="A31" s="2"/>
      <c r="B31" s="2"/>
      <c r="C31" s="68"/>
      <c r="D31" s="69" t="s">
        <v>375</v>
      </c>
      <c r="E31" s="24"/>
    </row>
    <row r="32" spans="1:5" s="67" customFormat="1" ht="12.75">
      <c r="A32" s="2"/>
      <c r="B32" s="2"/>
      <c r="C32" s="11"/>
      <c r="D32" s="2"/>
      <c r="E32" s="70" t="s">
        <v>376</v>
      </c>
    </row>
    <row r="33" spans="1:5" s="67" customFormat="1" ht="14.25">
      <c r="A33" s="2"/>
      <c r="B33" s="2"/>
      <c r="C33" s="68"/>
      <c r="D33" s="69" t="s">
        <v>377</v>
      </c>
      <c r="E33" s="24"/>
    </row>
    <row r="34" spans="1:5" s="67" customFormat="1" ht="12.75">
      <c r="A34" s="2"/>
      <c r="B34" s="2"/>
      <c r="C34" s="11"/>
      <c r="D34" s="71" t="s">
        <v>378</v>
      </c>
      <c r="E34" s="24"/>
    </row>
    <row r="35" spans="1:20" s="137" customFormat="1" ht="14.25">
      <c r="A35" s="142"/>
      <c r="B35" s="142"/>
      <c r="C35" s="141"/>
      <c r="D35" s="141"/>
      <c r="E35" s="143"/>
      <c r="F35" s="142"/>
      <c r="G35" s="145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s="137" customFormat="1" ht="14.25">
      <c r="A36" s="142"/>
      <c r="B36" s="142"/>
      <c r="C36" s="141"/>
      <c r="D36" s="141"/>
      <c r="E36" s="143"/>
      <c r="F36" s="142"/>
      <c r="G36" s="145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s="137" customFormat="1" ht="14.25">
      <c r="A37" s="142"/>
      <c r="B37" s="142"/>
      <c r="C37" s="141"/>
      <c r="D37" s="141"/>
      <c r="E37" s="143"/>
      <c r="F37" s="142"/>
      <c r="G37" s="145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s="137" customFormat="1" ht="14.25">
      <c r="A38" s="142"/>
      <c r="B38" s="142"/>
      <c r="C38" s="141"/>
      <c r="D38" s="141"/>
      <c r="E38" s="143"/>
      <c r="F38" s="142"/>
      <c r="G38" s="145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0" s="137" customFormat="1" ht="14.25">
      <c r="A39" s="142"/>
      <c r="B39" s="142"/>
      <c r="C39" s="141"/>
      <c r="D39" s="141"/>
      <c r="E39" s="143"/>
      <c r="F39" s="142"/>
      <c r="G39" s="145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 s="137" customFormat="1" ht="14.25">
      <c r="A40" s="142"/>
      <c r="B40" s="142"/>
      <c r="C40" s="141"/>
      <c r="D40" s="141"/>
      <c r="E40" s="143"/>
      <c r="F40" s="142"/>
      <c r="G40" s="145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 s="137" customFormat="1" ht="14.25">
      <c r="A41" s="142"/>
      <c r="B41" s="142"/>
      <c r="C41" s="141"/>
      <c r="D41" s="141"/>
      <c r="E41" s="143"/>
      <c r="F41" s="142"/>
      <c r="G41" s="145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1:20" s="137" customFormat="1" ht="14.25">
      <c r="A42" s="142"/>
      <c r="B42" s="142"/>
      <c r="C42" s="141"/>
      <c r="D42" s="141"/>
      <c r="E42" s="143"/>
      <c r="F42" s="142"/>
      <c r="G42" s="145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1:20" s="137" customFormat="1" ht="14.25">
      <c r="A43" s="142"/>
      <c r="B43" s="142"/>
      <c r="C43" s="141"/>
      <c r="D43" s="141"/>
      <c r="E43" s="143"/>
      <c r="F43" s="142"/>
      <c r="G43" s="145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1:7" ht="15">
      <c r="A44" s="184"/>
      <c r="B44" s="146"/>
      <c r="C44" s="146"/>
      <c r="D44" s="146"/>
      <c r="E44" s="146"/>
      <c r="F44" s="146"/>
      <c r="G44" s="146"/>
    </row>
    <row r="45" spans="1:7" ht="15">
      <c r="A45" s="144"/>
      <c r="B45" s="147"/>
      <c r="C45" s="147"/>
      <c r="D45" s="147"/>
      <c r="E45" s="147"/>
      <c r="F45" s="147"/>
      <c r="G45" s="147"/>
    </row>
    <row r="46" spans="1:7" ht="15">
      <c r="A46" s="144"/>
      <c r="B46" s="147"/>
      <c r="C46" s="147"/>
      <c r="D46" s="147"/>
      <c r="E46" s="147"/>
      <c r="F46" s="147"/>
      <c r="G46" s="147"/>
    </row>
    <row r="47" spans="1:7" ht="15">
      <c r="A47" s="463"/>
      <c r="B47" s="447" t="s">
        <v>560</v>
      </c>
      <c r="C47" s="474" t="s">
        <v>380</v>
      </c>
      <c r="D47" s="474"/>
      <c r="E47" s="474"/>
      <c r="F47" s="474"/>
      <c r="G47" s="474"/>
    </row>
    <row r="48" spans="1:7" ht="15">
      <c r="A48" s="464"/>
      <c r="B48" s="447" t="s">
        <v>561</v>
      </c>
      <c r="C48" s="203" t="s">
        <v>564</v>
      </c>
      <c r="E48" s="141"/>
      <c r="F48" s="445"/>
      <c r="G48" s="141"/>
    </row>
    <row r="49" spans="1:7" ht="30.75" customHeight="1">
      <c r="A49" s="463"/>
      <c r="B49" s="448" t="s">
        <v>558</v>
      </c>
      <c r="C49" s="479"/>
      <c r="D49" s="479"/>
      <c r="E49" s="479"/>
      <c r="F49" s="479"/>
      <c r="G49" s="479"/>
    </row>
    <row r="50" spans="1:7" ht="18" customHeight="1">
      <c r="A50" s="471" t="s">
        <v>559</v>
      </c>
      <c r="B50" s="471"/>
      <c r="C50" s="474"/>
      <c r="D50" s="474"/>
      <c r="E50" s="474"/>
      <c r="F50" s="474"/>
      <c r="G50" s="474"/>
    </row>
    <row r="51" spans="1:9" s="137" customFormat="1" ht="15" customHeight="1">
      <c r="A51" s="183"/>
      <c r="B51" s="465" t="s">
        <v>18</v>
      </c>
      <c r="C51" s="35" t="s">
        <v>445</v>
      </c>
      <c r="D51" s="35"/>
      <c r="E51" s="35"/>
      <c r="F51" s="211"/>
      <c r="G51" s="211"/>
      <c r="H51" s="35"/>
      <c r="I51" s="35"/>
    </row>
    <row r="52" spans="1:8" s="137" customFormat="1" ht="15">
      <c r="A52" s="183"/>
      <c r="B52" s="466" t="s">
        <v>440</v>
      </c>
      <c r="C52" s="168" t="s">
        <v>444</v>
      </c>
      <c r="D52" s="166"/>
      <c r="E52" s="138"/>
      <c r="F52" s="138"/>
      <c r="G52" s="138"/>
      <c r="H52" s="138"/>
    </row>
    <row r="53" spans="1:7" ht="15">
      <c r="A53" s="144"/>
      <c r="B53" s="147"/>
      <c r="C53" s="147"/>
      <c r="D53" s="147"/>
      <c r="E53" s="147"/>
      <c r="F53" s="144"/>
      <c r="G53" s="144"/>
    </row>
    <row r="54" spans="1:8" s="137" customFormat="1" ht="15">
      <c r="A54" s="139"/>
      <c r="B54" s="139"/>
      <c r="C54" s="518"/>
      <c r="D54" s="518"/>
      <c r="E54" s="518"/>
      <c r="F54" s="518"/>
      <c r="G54" s="518"/>
      <c r="H54" s="518"/>
    </row>
    <row r="55" spans="1:7" s="137" customFormat="1" ht="21">
      <c r="A55" s="516" t="s">
        <v>438</v>
      </c>
      <c r="B55" s="516"/>
      <c r="C55" s="516"/>
      <c r="D55" s="516"/>
      <c r="E55" s="516"/>
      <c r="F55" s="163" t="s">
        <v>443</v>
      </c>
      <c r="G55" s="164"/>
    </row>
    <row r="56" spans="1:7" ht="14.25">
      <c r="A56" s="148"/>
      <c r="B56" s="148"/>
      <c r="C56" s="148"/>
      <c r="D56" s="148"/>
      <c r="E56" s="148"/>
      <c r="F56" s="148"/>
      <c r="G56" s="148"/>
    </row>
    <row r="57" spans="1:8" s="29" customFormat="1" ht="15.75" customHeight="1" thickBot="1">
      <c r="A57" s="488"/>
      <c r="B57" s="488"/>
      <c r="C57" s="488"/>
      <c r="D57" s="488"/>
      <c r="E57" s="488"/>
      <c r="F57" s="26"/>
      <c r="G57" s="39" t="s">
        <v>367</v>
      </c>
      <c r="H57" s="26"/>
    </row>
    <row r="58" spans="1:8" s="29" customFormat="1" ht="15.75" customHeight="1" thickBot="1">
      <c r="A58" s="489" t="s">
        <v>372</v>
      </c>
      <c r="B58" s="490" t="s">
        <v>363</v>
      </c>
      <c r="C58" s="490" t="s">
        <v>369</v>
      </c>
      <c r="D58" s="489" t="s">
        <v>189</v>
      </c>
      <c r="E58" s="489" t="s">
        <v>366</v>
      </c>
      <c r="F58" s="490" t="s">
        <v>203</v>
      </c>
      <c r="G58" s="490" t="s">
        <v>368</v>
      </c>
      <c r="H58" s="40"/>
    </row>
    <row r="59" spans="1:8" s="29" customFormat="1" ht="27" customHeight="1" thickBot="1">
      <c r="A59" s="489"/>
      <c r="B59" s="490"/>
      <c r="C59" s="490"/>
      <c r="D59" s="489"/>
      <c r="E59" s="489"/>
      <c r="F59" s="490"/>
      <c r="G59" s="490"/>
      <c r="H59" s="140"/>
    </row>
    <row r="60" spans="1:8" s="29" customFormat="1" ht="15.75" thickBot="1">
      <c r="A60" s="41">
        <v>1</v>
      </c>
      <c r="B60" s="367">
        <v>2</v>
      </c>
      <c r="C60" s="41">
        <v>3</v>
      </c>
      <c r="D60" s="41">
        <v>4</v>
      </c>
      <c r="E60" s="41">
        <v>5</v>
      </c>
      <c r="F60" s="367">
        <v>6</v>
      </c>
      <c r="G60" s="41">
        <v>7</v>
      </c>
      <c r="H60" s="42"/>
    </row>
    <row r="61" spans="1:8" ht="180.75" customHeight="1">
      <c r="A61" s="159">
        <v>1</v>
      </c>
      <c r="B61" s="361"/>
      <c r="C61" s="160" t="s">
        <v>437</v>
      </c>
      <c r="D61" s="161" t="s">
        <v>191</v>
      </c>
      <c r="E61" s="161">
        <v>1</v>
      </c>
      <c r="F61" s="362"/>
      <c r="G61" s="162">
        <f>E61*F61</f>
        <v>0</v>
      </c>
      <c r="H61" s="152"/>
    </row>
    <row r="62" spans="5:8" s="29" customFormat="1" ht="15">
      <c r="E62" s="57"/>
      <c r="F62" s="58" t="s">
        <v>364</v>
      </c>
      <c r="G62" s="59">
        <f>G61</f>
        <v>0</v>
      </c>
      <c r="H62" s="7"/>
    </row>
    <row r="63" spans="5:8" s="29" customFormat="1" ht="15">
      <c r="E63" s="484" t="s">
        <v>206</v>
      </c>
      <c r="F63" s="484"/>
      <c r="G63" s="59">
        <f>G62*0.2</f>
        <v>0</v>
      </c>
      <c r="H63" s="7"/>
    </row>
    <row r="64" spans="3:8" s="29" customFormat="1" ht="15">
      <c r="C64" s="26"/>
      <c r="E64" s="57"/>
      <c r="F64" s="60" t="s">
        <v>365</v>
      </c>
      <c r="G64" s="59">
        <f>G62+G63</f>
        <v>0</v>
      </c>
      <c r="H64" s="7"/>
    </row>
    <row r="65" spans="3:16" s="29" customFormat="1" ht="14.25">
      <c r="C65" s="61"/>
      <c r="D65" s="62"/>
      <c r="E65" s="62"/>
      <c r="H65" s="7"/>
      <c r="O65" s="3"/>
      <c r="P65" s="6"/>
    </row>
    <row r="66" spans="2:16" s="29" customFormat="1" ht="18.75">
      <c r="B66" s="370" t="s">
        <v>370</v>
      </c>
      <c r="C66" s="64" t="s">
        <v>371</v>
      </c>
      <c r="D66" s="62"/>
      <c r="E66" s="62"/>
      <c r="H66" s="28"/>
      <c r="I66" s="28"/>
      <c r="J66" s="28"/>
      <c r="K66" s="28"/>
      <c r="L66" s="28"/>
      <c r="M66" s="28"/>
      <c r="N66" s="28"/>
      <c r="O66" s="28"/>
      <c r="P66" s="28"/>
    </row>
    <row r="67" spans="8:16" s="29" customFormat="1" ht="14.25">
      <c r="H67" s="28"/>
      <c r="I67" s="28"/>
      <c r="J67" s="28"/>
      <c r="K67" s="28"/>
      <c r="L67" s="28"/>
      <c r="M67" s="28"/>
      <c r="N67" s="28"/>
      <c r="O67" s="28"/>
      <c r="P67" s="28"/>
    </row>
    <row r="68" spans="8:16" s="29" customFormat="1" ht="15" customHeight="1">
      <c r="H68" s="28"/>
      <c r="I68" s="28"/>
      <c r="J68" s="28"/>
      <c r="K68" s="28"/>
      <c r="L68" s="28"/>
      <c r="M68" s="28"/>
      <c r="N68" s="28"/>
      <c r="O68" s="28"/>
      <c r="P68" s="28"/>
    </row>
    <row r="69" spans="8:16" s="29" customFormat="1" ht="14.25">
      <c r="H69" s="28"/>
      <c r="I69" s="28"/>
      <c r="J69" s="28"/>
      <c r="K69" s="28"/>
      <c r="L69" s="28"/>
      <c r="M69" s="28"/>
      <c r="N69" s="28"/>
      <c r="O69" s="28"/>
      <c r="P69" s="28"/>
    </row>
    <row r="70" spans="1:5" s="67" customFormat="1" ht="15">
      <c r="A70" s="187" t="s">
        <v>373</v>
      </c>
      <c r="B70" s="2"/>
      <c r="C70" s="65"/>
      <c r="D70" s="66" t="s">
        <v>374</v>
      </c>
      <c r="E70" s="24"/>
    </row>
    <row r="71" spans="1:5" s="67" customFormat="1" ht="12.75">
      <c r="A71" s="2"/>
      <c r="B71" s="2"/>
      <c r="C71" s="11"/>
      <c r="D71" s="2"/>
      <c r="E71" s="24"/>
    </row>
    <row r="72" spans="1:5" s="67" customFormat="1" ht="14.25">
      <c r="A72" s="2"/>
      <c r="B72" s="2"/>
      <c r="C72" s="68"/>
      <c r="D72" s="69" t="s">
        <v>375</v>
      </c>
      <c r="E72" s="24"/>
    </row>
    <row r="73" spans="1:5" s="67" customFormat="1" ht="12.75">
      <c r="A73" s="2"/>
      <c r="B73" s="2"/>
      <c r="C73" s="11"/>
      <c r="D73" s="2"/>
      <c r="E73" s="70" t="s">
        <v>376</v>
      </c>
    </row>
    <row r="74" spans="1:5" s="67" customFormat="1" ht="14.25">
      <c r="A74" s="2"/>
      <c r="B74" s="2"/>
      <c r="C74" s="68"/>
      <c r="D74" s="69" t="s">
        <v>377</v>
      </c>
      <c r="E74" s="24"/>
    </row>
    <row r="75" spans="1:5" s="67" customFormat="1" ht="12.75">
      <c r="A75" s="2"/>
      <c r="B75" s="2"/>
      <c r="C75" s="11"/>
      <c r="D75" s="71" t="s">
        <v>378</v>
      </c>
      <c r="E75" s="24"/>
    </row>
    <row r="76" spans="1:7" ht="15">
      <c r="A76" s="34"/>
      <c r="B76" s="34"/>
      <c r="C76" s="149"/>
      <c r="D76" s="149"/>
      <c r="E76" s="150"/>
      <c r="F76" s="144"/>
      <c r="G76" s="153"/>
    </row>
    <row r="77" spans="1:7" ht="14.25">
      <c r="A77" s="34"/>
      <c r="B77" s="34"/>
      <c r="C77" s="149"/>
      <c r="D77" s="149"/>
      <c r="E77" s="150"/>
      <c r="F77" s="34"/>
      <c r="G77" s="151"/>
    </row>
    <row r="78" spans="1:20" s="137" customFormat="1" ht="17.25" customHeight="1">
      <c r="A78" s="34"/>
      <c r="B78" s="34"/>
      <c r="C78" s="149"/>
      <c r="D78" s="149"/>
      <c r="E78" s="150"/>
      <c r="F78" s="34"/>
      <c r="G78" s="15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</row>
    <row r="79" spans="1:7" ht="15">
      <c r="A79" s="463"/>
      <c r="B79" s="447" t="s">
        <v>560</v>
      </c>
      <c r="C79" s="474" t="s">
        <v>380</v>
      </c>
      <c r="D79" s="474"/>
      <c r="E79" s="474"/>
      <c r="F79" s="474"/>
      <c r="G79" s="474"/>
    </row>
    <row r="80" spans="1:7" ht="15">
      <c r="A80" s="464"/>
      <c r="B80" s="447" t="s">
        <v>561</v>
      </c>
      <c r="C80" s="203" t="s">
        <v>564</v>
      </c>
      <c r="E80" s="141"/>
      <c r="F80" s="445"/>
      <c r="G80" s="141"/>
    </row>
    <row r="81" spans="1:7" ht="30.75" customHeight="1">
      <c r="A81" s="463"/>
      <c r="B81" s="448" t="s">
        <v>558</v>
      </c>
      <c r="C81" s="479"/>
      <c r="D81" s="479"/>
      <c r="E81" s="479"/>
      <c r="F81" s="479"/>
      <c r="G81" s="479"/>
    </row>
    <row r="82" spans="1:7" ht="18" customHeight="1">
      <c r="A82" s="471" t="s">
        <v>559</v>
      </c>
      <c r="B82" s="471"/>
      <c r="C82" s="474"/>
      <c r="D82" s="474"/>
      <c r="E82" s="474"/>
      <c r="F82" s="474"/>
      <c r="G82" s="474"/>
    </row>
    <row r="83" spans="1:9" s="137" customFormat="1" ht="15" customHeight="1">
      <c r="A83" s="183"/>
      <c r="B83" s="465" t="s">
        <v>18</v>
      </c>
      <c r="C83" s="35" t="s">
        <v>445</v>
      </c>
      <c r="D83" s="35"/>
      <c r="E83" s="35"/>
      <c r="F83" s="211"/>
      <c r="G83" s="211"/>
      <c r="H83" s="35"/>
      <c r="I83" s="35"/>
    </row>
    <row r="84" spans="1:8" s="137" customFormat="1" ht="15">
      <c r="A84" s="183"/>
      <c r="B84" s="466" t="s">
        <v>440</v>
      </c>
      <c r="C84" s="168" t="s">
        <v>602</v>
      </c>
      <c r="D84" s="166"/>
      <c r="E84" s="138"/>
      <c r="F84" s="138"/>
      <c r="G84" s="138"/>
      <c r="H84" s="138"/>
    </row>
    <row r="85" spans="1:7" ht="15">
      <c r="A85" s="144"/>
      <c r="B85" s="147"/>
      <c r="C85" s="147"/>
      <c r="D85" s="147"/>
      <c r="E85" s="147"/>
      <c r="F85" s="147"/>
      <c r="G85" s="147"/>
    </row>
    <row r="86" spans="1:8" s="137" customFormat="1" ht="15">
      <c r="A86" s="139"/>
      <c r="B86" s="139"/>
      <c r="C86" s="518"/>
      <c r="D86" s="518"/>
      <c r="E86" s="518"/>
      <c r="F86" s="518"/>
      <c r="G86" s="518"/>
      <c r="H86" s="518"/>
    </row>
    <row r="87" spans="1:7" s="137" customFormat="1" ht="21">
      <c r="A87" s="516" t="s">
        <v>438</v>
      </c>
      <c r="B87" s="516"/>
      <c r="C87" s="516"/>
      <c r="D87" s="516"/>
      <c r="E87" s="516"/>
      <c r="F87" s="163" t="s">
        <v>442</v>
      </c>
      <c r="G87" s="164"/>
    </row>
    <row r="88" spans="1:7" ht="15">
      <c r="A88" s="144"/>
      <c r="B88" s="147"/>
      <c r="C88" s="147"/>
      <c r="D88" s="147"/>
      <c r="E88" s="147"/>
      <c r="F88" s="147"/>
      <c r="G88" s="147"/>
    </row>
    <row r="89" spans="1:8" s="29" customFormat="1" ht="15.75" customHeight="1" thickBot="1">
      <c r="A89" s="488"/>
      <c r="B89" s="488"/>
      <c r="C89" s="488"/>
      <c r="D89" s="488"/>
      <c r="E89" s="488"/>
      <c r="F89" s="26"/>
      <c r="G89" s="39" t="s">
        <v>367</v>
      </c>
      <c r="H89" s="26"/>
    </row>
    <row r="90" spans="1:8" s="29" customFormat="1" ht="15.75" customHeight="1" thickBot="1">
      <c r="A90" s="493" t="s">
        <v>372</v>
      </c>
      <c r="B90" s="490" t="s">
        <v>363</v>
      </c>
      <c r="C90" s="490" t="s">
        <v>369</v>
      </c>
      <c r="D90" s="493" t="s">
        <v>189</v>
      </c>
      <c r="E90" s="493" t="s">
        <v>366</v>
      </c>
      <c r="F90" s="511" t="s">
        <v>203</v>
      </c>
      <c r="G90" s="511" t="s">
        <v>368</v>
      </c>
      <c r="H90" s="40"/>
    </row>
    <row r="91" spans="1:8" s="29" customFormat="1" ht="28.5" customHeight="1" thickBot="1">
      <c r="A91" s="494"/>
      <c r="B91" s="490"/>
      <c r="C91" s="490"/>
      <c r="D91" s="494"/>
      <c r="E91" s="494"/>
      <c r="F91" s="512"/>
      <c r="G91" s="512"/>
      <c r="H91" s="140"/>
    </row>
    <row r="92" spans="1:8" s="29" customFormat="1" ht="15.75" thickBot="1">
      <c r="A92" s="41">
        <v>1</v>
      </c>
      <c r="B92" s="367">
        <v>2</v>
      </c>
      <c r="C92" s="41">
        <v>3</v>
      </c>
      <c r="D92" s="41">
        <v>4</v>
      </c>
      <c r="E92" s="41">
        <v>5</v>
      </c>
      <c r="F92" s="367">
        <v>6</v>
      </c>
      <c r="G92" s="41">
        <v>7</v>
      </c>
      <c r="H92" s="42"/>
    </row>
    <row r="93" spans="1:8" s="29" customFormat="1" ht="33">
      <c r="A93" s="175">
        <v>1</v>
      </c>
      <c r="B93" s="363"/>
      <c r="C93" s="176" t="s">
        <v>414</v>
      </c>
      <c r="D93" s="177" t="s">
        <v>191</v>
      </c>
      <c r="E93" s="177">
        <v>1</v>
      </c>
      <c r="F93" s="368"/>
      <c r="G93" s="178">
        <f>E93*F93</f>
        <v>0</v>
      </c>
      <c r="H93" s="42"/>
    </row>
    <row r="94" spans="1:8" s="29" customFormat="1" ht="16.5">
      <c r="A94" s="174">
        <v>2</v>
      </c>
      <c r="B94" s="364"/>
      <c r="C94" s="127" t="s">
        <v>415</v>
      </c>
      <c r="D94" s="128" t="s">
        <v>191</v>
      </c>
      <c r="E94" s="128">
        <v>1</v>
      </c>
      <c r="F94" s="369"/>
      <c r="G94" s="171">
        <f>E94*F94</f>
        <v>0</v>
      </c>
      <c r="H94" s="42"/>
    </row>
    <row r="95" spans="1:8" s="68" customFormat="1" ht="37.5" customHeight="1">
      <c r="A95" s="134">
        <v>3</v>
      </c>
      <c r="B95" s="365"/>
      <c r="C95" s="135" t="s">
        <v>416</v>
      </c>
      <c r="D95" s="136" t="s">
        <v>191</v>
      </c>
      <c r="E95" s="136">
        <v>1</v>
      </c>
      <c r="F95" s="366"/>
      <c r="G95" s="171">
        <f>E95*F95</f>
        <v>0</v>
      </c>
      <c r="H95" s="136"/>
    </row>
    <row r="96" spans="1:8" s="68" customFormat="1" ht="37.5" customHeight="1">
      <c r="A96" s="134">
        <v>4</v>
      </c>
      <c r="B96" s="365"/>
      <c r="C96" s="135" t="s">
        <v>417</v>
      </c>
      <c r="D96" s="136" t="s">
        <v>191</v>
      </c>
      <c r="E96" s="136">
        <v>1</v>
      </c>
      <c r="F96" s="366"/>
      <c r="G96" s="171">
        <f aca="true" t="shared" si="1" ref="G96:G111">E96*F96</f>
        <v>0</v>
      </c>
      <c r="H96" s="136"/>
    </row>
    <row r="97" spans="1:8" s="68" customFormat="1" ht="37.5" customHeight="1">
      <c r="A97" s="134">
        <v>5</v>
      </c>
      <c r="B97" s="365"/>
      <c r="C97" s="135" t="s">
        <v>418</v>
      </c>
      <c r="D97" s="136" t="s">
        <v>191</v>
      </c>
      <c r="E97" s="136">
        <v>1</v>
      </c>
      <c r="F97" s="366"/>
      <c r="G97" s="171">
        <f t="shared" si="1"/>
        <v>0</v>
      </c>
      <c r="H97" s="136"/>
    </row>
    <row r="98" spans="1:8" s="68" customFormat="1" ht="37.5" customHeight="1">
      <c r="A98" s="134">
        <v>6</v>
      </c>
      <c r="B98" s="365"/>
      <c r="C98" s="135" t="s">
        <v>419</v>
      </c>
      <c r="D98" s="136" t="s">
        <v>191</v>
      </c>
      <c r="E98" s="136">
        <v>1</v>
      </c>
      <c r="F98" s="366"/>
      <c r="G98" s="171">
        <f t="shared" si="1"/>
        <v>0</v>
      </c>
      <c r="H98" s="136"/>
    </row>
    <row r="99" spans="1:8" s="68" customFormat="1" ht="37.5" customHeight="1">
      <c r="A99" s="134">
        <v>7</v>
      </c>
      <c r="B99" s="365"/>
      <c r="C99" s="135" t="s">
        <v>420</v>
      </c>
      <c r="D99" s="136" t="s">
        <v>421</v>
      </c>
      <c r="E99" s="136">
        <v>4</v>
      </c>
      <c r="F99" s="366"/>
      <c r="G99" s="171">
        <f t="shared" si="1"/>
        <v>0</v>
      </c>
      <c r="H99" s="136"/>
    </row>
    <row r="100" spans="1:8" s="68" customFormat="1" ht="37.5" customHeight="1">
      <c r="A100" s="134">
        <v>8</v>
      </c>
      <c r="B100" s="365"/>
      <c r="C100" s="135" t="s">
        <v>422</v>
      </c>
      <c r="D100" s="136" t="s">
        <v>421</v>
      </c>
      <c r="E100" s="136">
        <v>4</v>
      </c>
      <c r="F100" s="366"/>
      <c r="G100" s="171">
        <f t="shared" si="1"/>
        <v>0</v>
      </c>
      <c r="H100" s="136"/>
    </row>
    <row r="101" spans="1:8" s="68" customFormat="1" ht="37.5" customHeight="1">
      <c r="A101" s="134">
        <v>9</v>
      </c>
      <c r="B101" s="365"/>
      <c r="C101" s="135" t="s">
        <v>423</v>
      </c>
      <c r="D101" s="136" t="s">
        <v>421</v>
      </c>
      <c r="E101" s="136">
        <v>15</v>
      </c>
      <c r="F101" s="366"/>
      <c r="G101" s="171">
        <f t="shared" si="1"/>
        <v>0</v>
      </c>
      <c r="H101" s="136"/>
    </row>
    <row r="102" spans="1:8" s="68" customFormat="1" ht="37.5" customHeight="1">
      <c r="A102" s="134">
        <v>10</v>
      </c>
      <c r="B102" s="365"/>
      <c r="C102" s="135" t="s">
        <v>424</v>
      </c>
      <c r="D102" s="136" t="s">
        <v>425</v>
      </c>
      <c r="E102" s="136">
        <v>0.5</v>
      </c>
      <c r="F102" s="366"/>
      <c r="G102" s="171">
        <f t="shared" si="1"/>
        <v>0</v>
      </c>
      <c r="H102" s="136"/>
    </row>
    <row r="103" spans="1:8" s="68" customFormat="1" ht="37.5" customHeight="1">
      <c r="A103" s="134">
        <v>11</v>
      </c>
      <c r="B103" s="365"/>
      <c r="C103" s="135" t="s">
        <v>426</v>
      </c>
      <c r="D103" s="136" t="s">
        <v>421</v>
      </c>
      <c r="E103" s="136">
        <v>15</v>
      </c>
      <c r="F103" s="366"/>
      <c r="G103" s="171">
        <f t="shared" si="1"/>
        <v>0</v>
      </c>
      <c r="H103" s="136"/>
    </row>
    <row r="104" spans="1:8" s="68" customFormat="1" ht="37.5" customHeight="1">
      <c r="A104" s="134">
        <v>12</v>
      </c>
      <c r="B104" s="365"/>
      <c r="C104" s="135" t="s">
        <v>434</v>
      </c>
      <c r="D104" s="136" t="s">
        <v>421</v>
      </c>
      <c r="E104" s="136">
        <v>8</v>
      </c>
      <c r="F104" s="366"/>
      <c r="G104" s="171">
        <f t="shared" si="1"/>
        <v>0</v>
      </c>
      <c r="H104" s="136"/>
    </row>
    <row r="105" spans="1:8" s="68" customFormat="1" ht="37.5" customHeight="1">
      <c r="A105" s="134">
        <v>13</v>
      </c>
      <c r="B105" s="365"/>
      <c r="C105" s="135" t="s">
        <v>427</v>
      </c>
      <c r="D105" s="136" t="s">
        <v>421</v>
      </c>
      <c r="E105" s="136">
        <v>6</v>
      </c>
      <c r="F105" s="366"/>
      <c r="G105" s="171">
        <f t="shared" si="1"/>
        <v>0</v>
      </c>
      <c r="H105" s="136"/>
    </row>
    <row r="106" spans="1:8" s="68" customFormat="1" ht="37.5" customHeight="1">
      <c r="A106" s="134">
        <v>14</v>
      </c>
      <c r="B106" s="365"/>
      <c r="C106" s="135" t="s">
        <v>435</v>
      </c>
      <c r="D106" s="136" t="s">
        <v>421</v>
      </c>
      <c r="E106" s="136">
        <v>6</v>
      </c>
      <c r="F106" s="366"/>
      <c r="G106" s="171">
        <f t="shared" si="1"/>
        <v>0</v>
      </c>
      <c r="H106" s="136"/>
    </row>
    <row r="107" spans="1:8" s="68" customFormat="1" ht="37.5" customHeight="1">
      <c r="A107" s="134">
        <v>15</v>
      </c>
      <c r="B107" s="365"/>
      <c r="C107" s="135" t="s">
        <v>436</v>
      </c>
      <c r="D107" s="136" t="s">
        <v>421</v>
      </c>
      <c r="E107" s="136">
        <v>6</v>
      </c>
      <c r="F107" s="366"/>
      <c r="G107" s="171">
        <f t="shared" si="1"/>
        <v>0</v>
      </c>
      <c r="H107" s="136"/>
    </row>
    <row r="108" spans="1:8" s="68" customFormat="1" ht="37.5" customHeight="1">
      <c r="A108" s="134">
        <v>16</v>
      </c>
      <c r="B108" s="365"/>
      <c r="C108" s="135" t="s">
        <v>428</v>
      </c>
      <c r="D108" s="136" t="s">
        <v>191</v>
      </c>
      <c r="E108" s="136">
        <v>1</v>
      </c>
      <c r="F108" s="366"/>
      <c r="G108" s="171">
        <f t="shared" si="1"/>
        <v>0</v>
      </c>
      <c r="H108" s="136"/>
    </row>
    <row r="109" spans="1:8" s="68" customFormat="1" ht="37.5" customHeight="1">
      <c r="A109" s="134">
        <v>17</v>
      </c>
      <c r="B109" s="365"/>
      <c r="C109" s="135" t="s">
        <v>429</v>
      </c>
      <c r="D109" s="136" t="s">
        <v>421</v>
      </c>
      <c r="E109" s="136">
        <v>5</v>
      </c>
      <c r="F109" s="366"/>
      <c r="G109" s="171">
        <f t="shared" si="1"/>
        <v>0</v>
      </c>
      <c r="H109" s="136"/>
    </row>
    <row r="110" spans="1:8" s="68" customFormat="1" ht="37.5" customHeight="1">
      <c r="A110" s="134">
        <v>18</v>
      </c>
      <c r="B110" s="365"/>
      <c r="C110" s="135" t="s">
        <v>430</v>
      </c>
      <c r="D110" s="136" t="s">
        <v>431</v>
      </c>
      <c r="E110" s="136">
        <v>1</v>
      </c>
      <c r="F110" s="366"/>
      <c r="G110" s="171">
        <f t="shared" si="1"/>
        <v>0</v>
      </c>
      <c r="H110" s="136"/>
    </row>
    <row r="111" spans="1:8" s="68" customFormat="1" ht="37.5" customHeight="1">
      <c r="A111" s="134">
        <v>19</v>
      </c>
      <c r="B111" s="365"/>
      <c r="C111" s="135" t="s">
        <v>432</v>
      </c>
      <c r="D111" s="136" t="s">
        <v>433</v>
      </c>
      <c r="E111" s="136">
        <v>12</v>
      </c>
      <c r="F111" s="366"/>
      <c r="G111" s="171">
        <f t="shared" si="1"/>
        <v>0</v>
      </c>
      <c r="H111" s="136"/>
    </row>
    <row r="112" spans="5:8" s="29" customFormat="1" ht="15">
      <c r="E112" s="57"/>
      <c r="F112" s="58" t="s">
        <v>364</v>
      </c>
      <c r="G112" s="59">
        <f>SUM(G93:G111)</f>
        <v>0</v>
      </c>
      <c r="H112" s="7"/>
    </row>
    <row r="113" spans="5:8" s="29" customFormat="1" ht="15">
      <c r="E113" s="484" t="s">
        <v>206</v>
      </c>
      <c r="F113" s="484"/>
      <c r="G113" s="59">
        <f>G112*0.2</f>
        <v>0</v>
      </c>
      <c r="H113" s="7"/>
    </row>
    <row r="114" spans="3:8" s="29" customFormat="1" ht="15">
      <c r="C114" s="26"/>
      <c r="E114" s="57"/>
      <c r="F114" s="60" t="s">
        <v>365</v>
      </c>
      <c r="G114" s="59">
        <f>G112+G113</f>
        <v>0</v>
      </c>
      <c r="H114" s="7"/>
    </row>
    <row r="115" spans="3:16" s="29" customFormat="1" ht="14.25">
      <c r="C115" s="61"/>
      <c r="D115" s="62"/>
      <c r="E115" s="62"/>
      <c r="H115" s="7"/>
      <c r="O115" s="3"/>
      <c r="P115" s="6"/>
    </row>
    <row r="116" spans="2:16" s="29" customFormat="1" ht="18.75">
      <c r="B116" s="370" t="s">
        <v>370</v>
      </c>
      <c r="C116" s="64" t="s">
        <v>371</v>
      </c>
      <c r="D116" s="62"/>
      <c r="E116" s="62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8:16" s="29" customFormat="1" ht="14.25"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8:16" s="29" customFormat="1" ht="15" customHeight="1"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8:16" s="29" customFormat="1" ht="14.25"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5" s="67" customFormat="1" ht="15">
      <c r="A120" s="187" t="s">
        <v>373</v>
      </c>
      <c r="B120" s="2"/>
      <c r="C120" s="65"/>
      <c r="D120" s="66" t="s">
        <v>374</v>
      </c>
      <c r="E120" s="24"/>
    </row>
    <row r="121" spans="1:5" s="67" customFormat="1" ht="12.75">
      <c r="A121" s="2"/>
      <c r="B121" s="2"/>
      <c r="C121" s="11"/>
      <c r="D121" s="2"/>
      <c r="E121" s="24"/>
    </row>
    <row r="122" spans="1:5" s="67" customFormat="1" ht="14.25">
      <c r="A122" s="2"/>
      <c r="B122" s="2"/>
      <c r="C122" s="68"/>
      <c r="D122" s="69" t="s">
        <v>375</v>
      </c>
      <c r="E122" s="24"/>
    </row>
    <row r="123" spans="1:5" s="67" customFormat="1" ht="12.75">
      <c r="A123" s="2"/>
      <c r="B123" s="2"/>
      <c r="C123" s="11"/>
      <c r="D123" s="2"/>
      <c r="E123" s="70" t="s">
        <v>376</v>
      </c>
    </row>
    <row r="124" spans="1:5" s="67" customFormat="1" ht="14.25">
      <c r="A124" s="2"/>
      <c r="B124" s="2"/>
      <c r="C124" s="68"/>
      <c r="D124" s="69" t="s">
        <v>377</v>
      </c>
      <c r="E124" s="24"/>
    </row>
    <row r="125" spans="1:5" s="67" customFormat="1" ht="12.75">
      <c r="A125" s="2"/>
      <c r="B125" s="2"/>
      <c r="C125" s="11"/>
      <c r="D125" s="71" t="s">
        <v>378</v>
      </c>
      <c r="E125" s="24"/>
    </row>
    <row r="126" spans="1:5" s="67" customFormat="1" ht="12.75">
      <c r="A126" s="2"/>
      <c r="B126" s="2"/>
      <c r="C126" s="11"/>
      <c r="D126" s="71"/>
      <c r="E126" s="24"/>
    </row>
    <row r="127" spans="1:7" ht="15">
      <c r="A127" s="463"/>
      <c r="B127" s="447" t="s">
        <v>560</v>
      </c>
      <c r="C127" s="474" t="s">
        <v>380</v>
      </c>
      <c r="D127" s="474"/>
      <c r="E127" s="474"/>
      <c r="F127" s="474"/>
      <c r="G127" s="474"/>
    </row>
    <row r="128" spans="1:7" ht="15">
      <c r="A128" s="464"/>
      <c r="B128" s="447" t="s">
        <v>561</v>
      </c>
      <c r="C128" s="203" t="s">
        <v>564</v>
      </c>
      <c r="E128" s="141"/>
      <c r="F128" s="445"/>
      <c r="G128" s="141"/>
    </row>
    <row r="129" spans="1:7" ht="30.75" customHeight="1">
      <c r="A129" s="463"/>
      <c r="B129" s="448" t="s">
        <v>558</v>
      </c>
      <c r="C129" s="479"/>
      <c r="D129" s="479"/>
      <c r="E129" s="479"/>
      <c r="F129" s="479"/>
      <c r="G129" s="479"/>
    </row>
    <row r="130" spans="1:7" ht="18" customHeight="1">
      <c r="A130" s="471" t="s">
        <v>559</v>
      </c>
      <c r="B130" s="471"/>
      <c r="C130" s="474"/>
      <c r="D130" s="474"/>
      <c r="E130" s="474"/>
      <c r="F130" s="474"/>
      <c r="G130" s="474"/>
    </row>
    <row r="131" spans="1:9" s="137" customFormat="1" ht="15" customHeight="1">
      <c r="A131" s="183"/>
      <c r="B131" s="465" t="s">
        <v>18</v>
      </c>
      <c r="C131" s="35" t="s">
        <v>445</v>
      </c>
      <c r="D131" s="35"/>
      <c r="E131" s="35"/>
      <c r="F131" s="211"/>
      <c r="G131" s="211"/>
      <c r="H131" s="35"/>
      <c r="I131" s="35"/>
    </row>
    <row r="132" spans="1:8" s="137" customFormat="1" ht="15">
      <c r="A132" s="139"/>
      <c r="B132" s="139"/>
      <c r="C132" s="518"/>
      <c r="D132" s="518"/>
      <c r="E132" s="518"/>
      <c r="F132" s="518"/>
      <c r="G132" s="518"/>
      <c r="H132" s="518"/>
    </row>
    <row r="133" spans="1:7" s="137" customFormat="1" ht="21">
      <c r="A133" s="516" t="s">
        <v>438</v>
      </c>
      <c r="B133" s="516"/>
      <c r="C133" s="516"/>
      <c r="D133" s="516"/>
      <c r="E133" s="516"/>
      <c r="F133" s="163">
        <v>48</v>
      </c>
      <c r="G133" s="164"/>
    </row>
    <row r="134" spans="1:7" s="137" customFormat="1" ht="20.25">
      <c r="A134" s="165"/>
      <c r="B134" s="165"/>
      <c r="C134" s="165"/>
      <c r="D134" s="165"/>
      <c r="E134" s="165"/>
      <c r="F134" s="163"/>
      <c r="G134" s="164"/>
    </row>
    <row r="135" spans="1:7" s="137" customFormat="1" ht="20.25">
      <c r="A135" s="165"/>
      <c r="B135" s="165"/>
      <c r="C135" s="165"/>
      <c r="D135" s="165"/>
      <c r="E135" s="165"/>
      <c r="F135" s="163"/>
      <c r="G135" s="164"/>
    </row>
    <row r="136" spans="1:8" s="29" customFormat="1" ht="15.75" customHeight="1" thickBot="1">
      <c r="A136" s="517"/>
      <c r="B136" s="517"/>
      <c r="C136" s="517"/>
      <c r="D136" s="517"/>
      <c r="E136" s="517"/>
      <c r="F136" s="26"/>
      <c r="G136" s="39" t="s">
        <v>367</v>
      </c>
      <c r="H136" s="26"/>
    </row>
    <row r="137" spans="1:16" s="118" customFormat="1" ht="32.25" customHeight="1" thickBot="1">
      <c r="A137" s="191" t="s">
        <v>393</v>
      </c>
      <c r="B137" s="490" t="s">
        <v>448</v>
      </c>
      <c r="C137" s="490"/>
      <c r="D137" s="490"/>
      <c r="E137" s="490"/>
      <c r="F137" s="490"/>
      <c r="G137" s="123" t="s">
        <v>368</v>
      </c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1:16" s="179" customFormat="1" ht="5.25">
      <c r="A138" s="124"/>
      <c r="B138" s="124"/>
      <c r="C138" s="124"/>
      <c r="D138" s="124"/>
      <c r="E138" s="124"/>
      <c r="H138" s="180"/>
      <c r="I138" s="180"/>
      <c r="J138" s="180"/>
      <c r="K138" s="180"/>
      <c r="L138" s="180"/>
      <c r="M138" s="180"/>
      <c r="N138" s="180"/>
      <c r="O138" s="180"/>
      <c r="P138" s="180"/>
    </row>
    <row r="139" spans="1:16" s="29" customFormat="1" ht="15">
      <c r="A139" s="181" t="s">
        <v>439</v>
      </c>
      <c r="B139" s="513" t="s">
        <v>449</v>
      </c>
      <c r="C139" s="513"/>
      <c r="D139" s="513"/>
      <c r="E139" s="513"/>
      <c r="F139" s="513"/>
      <c r="G139" s="52">
        <f>G21</f>
        <v>0</v>
      </c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s="179" customFormat="1" ht="5.25">
      <c r="A140" s="190"/>
      <c r="B140" s="188"/>
      <c r="C140" s="188"/>
      <c r="D140" s="188"/>
      <c r="E140" s="188"/>
      <c r="F140" s="188"/>
      <c r="H140" s="180"/>
      <c r="I140" s="180"/>
      <c r="J140" s="180"/>
      <c r="K140" s="180"/>
      <c r="L140" s="180"/>
      <c r="M140" s="180"/>
      <c r="N140" s="180"/>
      <c r="O140" s="180"/>
      <c r="P140" s="180"/>
    </row>
    <row r="141" spans="1:16" s="29" customFormat="1" ht="15">
      <c r="A141" s="181" t="s">
        <v>443</v>
      </c>
      <c r="B141" s="513" t="s">
        <v>450</v>
      </c>
      <c r="C141" s="513"/>
      <c r="D141" s="513"/>
      <c r="E141" s="513"/>
      <c r="F141" s="513"/>
      <c r="G141" s="52">
        <f>G62</f>
        <v>0</v>
      </c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s="179" customFormat="1" ht="5.25">
      <c r="A142" s="190"/>
      <c r="B142" s="188"/>
      <c r="C142" s="188"/>
      <c r="D142" s="188"/>
      <c r="E142" s="188"/>
      <c r="F142" s="188"/>
      <c r="H142" s="180"/>
      <c r="I142" s="180"/>
      <c r="J142" s="180"/>
      <c r="K142" s="180"/>
      <c r="L142" s="180"/>
      <c r="M142" s="180"/>
      <c r="N142" s="180"/>
      <c r="O142" s="180"/>
      <c r="P142" s="180"/>
    </row>
    <row r="143" spans="1:16" s="29" customFormat="1" ht="15">
      <c r="A143" s="181" t="s">
        <v>442</v>
      </c>
      <c r="B143" s="513" t="s">
        <v>605</v>
      </c>
      <c r="C143" s="513"/>
      <c r="D143" s="513"/>
      <c r="E143" s="513"/>
      <c r="F143" s="513"/>
      <c r="G143" s="52">
        <f>G112</f>
        <v>0</v>
      </c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s="179" customFormat="1" ht="5.25">
      <c r="A144" s="124"/>
      <c r="B144" s="188"/>
      <c r="C144" s="188"/>
      <c r="D144" s="188"/>
      <c r="E144" s="188"/>
      <c r="F144" s="189"/>
      <c r="G144" s="124"/>
      <c r="H144" s="180"/>
      <c r="I144" s="180"/>
      <c r="J144" s="180"/>
      <c r="K144" s="180"/>
      <c r="L144" s="180"/>
      <c r="M144" s="180"/>
      <c r="N144" s="180"/>
      <c r="O144" s="180"/>
      <c r="P144" s="180"/>
    </row>
    <row r="145" spans="1:16" s="29" customFormat="1" ht="15">
      <c r="A145" s="34"/>
      <c r="B145" s="34"/>
      <c r="C145" s="34"/>
      <c r="D145" s="34"/>
      <c r="E145" s="57"/>
      <c r="F145" s="170" t="s">
        <v>364</v>
      </c>
      <c r="G145" s="261">
        <f>SUM(G139:G143)</f>
        <v>0</v>
      </c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s="29" customFormat="1" ht="15">
      <c r="A146" s="34"/>
      <c r="B146" s="34"/>
      <c r="C146" s="34"/>
      <c r="D146" s="34"/>
      <c r="E146" s="484" t="s">
        <v>206</v>
      </c>
      <c r="F146" s="484"/>
      <c r="G146" s="261">
        <f>G145*0.2</f>
        <v>0</v>
      </c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s="29" customFormat="1" ht="15">
      <c r="A147" s="34"/>
      <c r="B147" s="34"/>
      <c r="C147" s="34"/>
      <c r="D147" s="34"/>
      <c r="E147" s="57"/>
      <c r="F147" s="60" t="s">
        <v>365</v>
      </c>
      <c r="G147" s="261">
        <f>G145+G146</f>
        <v>0</v>
      </c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29" customFormat="1" ht="14.25">
      <c r="A148" s="34"/>
      <c r="B148" s="34"/>
      <c r="C148" s="34"/>
      <c r="D148" s="34"/>
      <c r="E148" s="34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9" customFormat="1" ht="14.25">
      <c r="A149" s="34"/>
      <c r="B149" s="34"/>
      <c r="C149" s="34"/>
      <c r="D149" s="34"/>
      <c r="E149" s="34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s="29" customFormat="1" ht="14.25">
      <c r="A150" s="34"/>
      <c r="B150" s="34"/>
      <c r="C150" s="34"/>
      <c r="D150" s="34"/>
      <c r="E150" s="34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s="29" customFormat="1" ht="14.25">
      <c r="A151" s="34"/>
      <c r="B151" s="34"/>
      <c r="C151" s="34"/>
      <c r="D151" s="34"/>
      <c r="E151" s="34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s="29" customFormat="1" ht="14.25">
      <c r="A152" s="34"/>
      <c r="B152" s="34"/>
      <c r="C152" s="34"/>
      <c r="D152" s="34"/>
      <c r="E152" s="34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s="29" customFormat="1" ht="14.25">
      <c r="A153" s="34"/>
      <c r="B153" s="34"/>
      <c r="C153" s="34"/>
      <c r="D153" s="34"/>
      <c r="E153" s="34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s="29" customFormat="1" ht="14.25">
      <c r="A154" s="34"/>
      <c r="B154" s="34"/>
      <c r="C154" s="34"/>
      <c r="D154" s="34"/>
      <c r="E154" s="34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8:16" s="29" customFormat="1" ht="15" customHeight="1"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8:16" s="29" customFormat="1" ht="14.25"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5" s="67" customFormat="1" ht="15">
      <c r="A157" s="187" t="s">
        <v>373</v>
      </c>
      <c r="B157" s="2"/>
      <c r="C157" s="65"/>
      <c r="D157" s="66" t="s">
        <v>374</v>
      </c>
      <c r="E157" s="24"/>
    </row>
    <row r="158" spans="1:5" s="67" customFormat="1" ht="12.75">
      <c r="A158" s="2"/>
      <c r="B158" s="2"/>
      <c r="C158" s="11"/>
      <c r="D158" s="2"/>
      <c r="E158" s="24"/>
    </row>
    <row r="159" spans="1:5" s="67" customFormat="1" ht="14.25">
      <c r="A159" s="2"/>
      <c r="B159" s="2"/>
      <c r="C159" s="68"/>
      <c r="D159" s="69" t="s">
        <v>375</v>
      </c>
      <c r="E159" s="24"/>
    </row>
    <row r="160" spans="1:5" s="67" customFormat="1" ht="12.75">
      <c r="A160" s="2"/>
      <c r="B160" s="2"/>
      <c r="C160" s="11"/>
      <c r="D160" s="2"/>
      <c r="E160" s="70" t="s">
        <v>376</v>
      </c>
    </row>
    <row r="161" spans="1:5" s="67" customFormat="1" ht="14.25">
      <c r="A161" s="2"/>
      <c r="B161" s="2"/>
      <c r="C161" s="68"/>
      <c r="D161" s="69" t="s">
        <v>377</v>
      </c>
      <c r="E161" s="24"/>
    </row>
    <row r="162" spans="1:5" s="67" customFormat="1" ht="12.75">
      <c r="A162" s="2"/>
      <c r="B162" s="2"/>
      <c r="C162" s="11"/>
      <c r="D162" s="71" t="s">
        <v>378</v>
      </c>
      <c r="E162" s="24"/>
    </row>
    <row r="163" spans="1:20" s="137" customFormat="1" ht="14.25">
      <c r="A163" s="142"/>
      <c r="B163" s="142"/>
      <c r="C163" s="141"/>
      <c r="D163" s="141"/>
      <c r="E163" s="143"/>
      <c r="F163" s="142"/>
      <c r="G163" s="145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9:A12 C9:E9 B9:B10 B12:E12 C10:C11 A136:E136" name="Range1_2"/>
    <protectedRange password="CF7A" sqref="A57:A60 C57:E57 B57:B58 B60:E60 C58:C59 C89:E89 B89:B90 B92:E94 C90:C91 A89:A94" name="Range1_2_1"/>
    <protectedRange password="CF7A" sqref="A25:E34 A66:E75 A116:E126 E137:F137 B139:C140 B145:C162 B137 B138:E138 D148:E162 D145:D147 A137:A162 D139:E144 B141:B144" name="Range1_3"/>
    <protectedRange password="CF7A" sqref="F22 E21:E23 F63 E62:E64 F113 E112:E114 F146 E145:E147" name="Range1_1_3"/>
  </protectedRanges>
  <mergeCells count="57">
    <mergeCell ref="G58:G59"/>
    <mergeCell ref="C1:G1"/>
    <mergeCell ref="C3:G3"/>
    <mergeCell ref="A4:B4"/>
    <mergeCell ref="C4:G4"/>
    <mergeCell ref="C7:H7"/>
    <mergeCell ref="A10:A11"/>
    <mergeCell ref="C10:C11"/>
    <mergeCell ref="D10:D11"/>
    <mergeCell ref="C50:G50"/>
    <mergeCell ref="C79:G79"/>
    <mergeCell ref="C81:G81"/>
    <mergeCell ref="A57:E57"/>
    <mergeCell ref="B58:B59"/>
    <mergeCell ref="F58:F59"/>
    <mergeCell ref="A58:A59"/>
    <mergeCell ref="C58:C59"/>
    <mergeCell ref="D58:D59"/>
    <mergeCell ref="E58:E59"/>
    <mergeCell ref="E10:E11"/>
    <mergeCell ref="G10:G11"/>
    <mergeCell ref="A8:E8"/>
    <mergeCell ref="A50:B50"/>
    <mergeCell ref="A9:E9"/>
    <mergeCell ref="B10:B11"/>
    <mergeCell ref="F10:F11"/>
    <mergeCell ref="C47:G47"/>
    <mergeCell ref="C49:G49"/>
    <mergeCell ref="E22:F22"/>
    <mergeCell ref="E63:F63"/>
    <mergeCell ref="E113:F113"/>
    <mergeCell ref="B90:B91"/>
    <mergeCell ref="C90:C91"/>
    <mergeCell ref="D90:D91"/>
    <mergeCell ref="E90:E91"/>
    <mergeCell ref="A82:B82"/>
    <mergeCell ref="C82:G82"/>
    <mergeCell ref="C132:H132"/>
    <mergeCell ref="A133:E133"/>
    <mergeCell ref="C54:H54"/>
    <mergeCell ref="A55:E55"/>
    <mergeCell ref="C86:H86"/>
    <mergeCell ref="A87:E87"/>
    <mergeCell ref="A89:E89"/>
    <mergeCell ref="A90:A91"/>
    <mergeCell ref="F90:F91"/>
    <mergeCell ref="G90:G91"/>
    <mergeCell ref="A136:E136"/>
    <mergeCell ref="B143:F143"/>
    <mergeCell ref="E146:F146"/>
    <mergeCell ref="B137:F137"/>
    <mergeCell ref="B139:F139"/>
    <mergeCell ref="B141:F141"/>
    <mergeCell ref="C127:G127"/>
    <mergeCell ref="C129:G129"/>
    <mergeCell ref="A130:B130"/>
    <mergeCell ref="C130:G130"/>
  </mergeCells>
  <printOptions horizontalCentered="1"/>
  <pageMargins left="0.7086614173228347" right="0.2362204724409449" top="0.26" bottom="0.3937007874015748" header="0.19" footer="0.31496062992125984"/>
  <pageSetup horizontalDpi="600" verticalDpi="600" orientation="portrait" paperSize="9" scale="70" r:id="rId1"/>
  <rowBreaks count="2" manualBreakCount="2">
    <brk id="44" max="255" man="1"/>
    <brk id="77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421875" style="142" customWidth="1"/>
    <col min="2" max="2" width="20.57421875" style="142" customWidth="1"/>
    <col min="3" max="3" width="58.57421875" style="141" customWidth="1"/>
    <col min="4" max="4" width="10.421875" style="141" customWidth="1"/>
    <col min="5" max="5" width="9.57421875" style="143" customWidth="1"/>
    <col min="6" max="6" width="10.7109375" style="142" customWidth="1"/>
    <col min="7" max="7" width="16.57421875" style="145" customWidth="1"/>
    <col min="8" max="8" width="9.140625" style="141" hidden="1" customWidth="1"/>
    <col min="9" max="16384" width="9.140625" style="141" customWidth="1"/>
  </cols>
  <sheetData>
    <row r="1" spans="1:5" s="67" customFormat="1" ht="12.75">
      <c r="A1" s="2"/>
      <c r="B1" s="2"/>
      <c r="C1" s="11"/>
      <c r="D1" s="71"/>
      <c r="E1" s="24"/>
    </row>
    <row r="2" spans="1:7" ht="15">
      <c r="A2" s="463"/>
      <c r="B2" s="447" t="s">
        <v>560</v>
      </c>
      <c r="C2" s="474" t="s">
        <v>380</v>
      </c>
      <c r="D2" s="474"/>
      <c r="E2" s="474"/>
      <c r="F2" s="474"/>
      <c r="G2" s="474"/>
    </row>
    <row r="3" spans="1:7" ht="15">
      <c r="A3" s="464"/>
      <c r="B3" s="447" t="s">
        <v>561</v>
      </c>
      <c r="C3" s="203" t="s">
        <v>564</v>
      </c>
      <c r="E3" s="141"/>
      <c r="F3" s="445"/>
      <c r="G3" s="141"/>
    </row>
    <row r="4" spans="1:7" ht="30.75" customHeight="1">
      <c r="A4" s="463"/>
      <c r="B4" s="448" t="s">
        <v>558</v>
      </c>
      <c r="C4" s="479"/>
      <c r="D4" s="479"/>
      <c r="E4" s="479"/>
      <c r="F4" s="479"/>
      <c r="G4" s="479"/>
    </row>
    <row r="5" spans="1:7" ht="18" customHeight="1">
      <c r="A5" s="471" t="s">
        <v>559</v>
      </c>
      <c r="B5" s="471"/>
      <c r="C5" s="474"/>
      <c r="D5" s="474"/>
      <c r="E5" s="474"/>
      <c r="F5" s="474"/>
      <c r="G5" s="474"/>
    </row>
    <row r="6" spans="1:9" s="137" customFormat="1" ht="15" customHeight="1">
      <c r="A6" s="183"/>
      <c r="B6" s="465" t="s">
        <v>18</v>
      </c>
      <c r="C6" s="35" t="s">
        <v>604</v>
      </c>
      <c r="D6" s="35"/>
      <c r="E6" s="35"/>
      <c r="F6" s="211"/>
      <c r="G6" s="211"/>
      <c r="H6" s="35"/>
      <c r="I6" s="35"/>
    </row>
    <row r="7" spans="1:8" s="137" customFormat="1" ht="15">
      <c r="A7" s="183"/>
      <c r="B7" s="466" t="s">
        <v>440</v>
      </c>
      <c r="C7" s="168" t="s">
        <v>603</v>
      </c>
      <c r="D7" s="166"/>
      <c r="E7" s="138"/>
      <c r="F7" s="138"/>
      <c r="G7" s="138"/>
      <c r="H7" s="138"/>
    </row>
    <row r="8" spans="1:5" s="67" customFormat="1" ht="12.75">
      <c r="A8" s="2"/>
      <c r="B8" s="2"/>
      <c r="C8" s="11"/>
      <c r="D8" s="71"/>
      <c r="E8" s="24"/>
    </row>
    <row r="9" spans="1:7" s="137" customFormat="1" ht="20.25" customHeight="1">
      <c r="A9" s="516" t="s">
        <v>438</v>
      </c>
      <c r="B9" s="516"/>
      <c r="C9" s="516"/>
      <c r="D9" s="516"/>
      <c r="E9" s="516"/>
      <c r="F9" s="164" t="s">
        <v>601</v>
      </c>
      <c r="G9" s="164"/>
    </row>
    <row r="10" spans="1:6" s="29" customFormat="1" ht="14.25" customHeight="1">
      <c r="A10" s="468"/>
      <c r="B10" s="468"/>
      <c r="C10" s="468"/>
      <c r="D10" s="468"/>
      <c r="E10" s="30"/>
      <c r="F10" s="164"/>
    </row>
    <row r="11" s="29" customFormat="1" ht="14.25"/>
    <row r="12" spans="1:7" s="29" customFormat="1" ht="14.25">
      <c r="A12" s="48">
        <v>1</v>
      </c>
      <c r="B12" s="469"/>
      <c r="C12" s="467" t="s">
        <v>600</v>
      </c>
      <c r="D12" s="50" t="s">
        <v>191</v>
      </c>
      <c r="E12" s="52">
        <v>1</v>
      </c>
      <c r="F12" s="470"/>
      <c r="G12" s="52">
        <f>E12*F12</f>
        <v>0</v>
      </c>
    </row>
    <row r="13" spans="5:7" s="29" customFormat="1" ht="15">
      <c r="E13" s="57"/>
      <c r="F13" s="58" t="s">
        <v>364</v>
      </c>
      <c r="G13" s="59">
        <f>G12</f>
        <v>0</v>
      </c>
    </row>
    <row r="14" spans="5:7" s="29" customFormat="1" ht="15">
      <c r="E14" s="484" t="s">
        <v>206</v>
      </c>
      <c r="F14" s="484"/>
      <c r="G14" s="59">
        <f>G13*0.2</f>
        <v>0</v>
      </c>
    </row>
    <row r="15" spans="2:7" s="29" customFormat="1" ht="15">
      <c r="B15" s="26"/>
      <c r="E15" s="57"/>
      <c r="F15" s="60" t="s">
        <v>365</v>
      </c>
      <c r="G15" s="59">
        <f>G13+G14</f>
        <v>0</v>
      </c>
    </row>
    <row r="16" spans="1:16" s="29" customFormat="1" ht="14.25">
      <c r="A16" s="34"/>
      <c r="B16" s="34"/>
      <c r="C16" s="34"/>
      <c r="D16" s="34"/>
      <c r="E16" s="34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9" customFormat="1" ht="14.25">
      <c r="A17" s="34"/>
      <c r="B17" s="34"/>
      <c r="C17" s="34"/>
      <c r="D17" s="34"/>
      <c r="E17" s="34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9" customFormat="1" ht="14.25">
      <c r="A18" s="34"/>
      <c r="B18" s="34"/>
      <c r="C18" s="34"/>
      <c r="D18" s="34"/>
      <c r="E18" s="34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9" customFormat="1" ht="14.25">
      <c r="A19" s="34"/>
      <c r="B19" s="34"/>
      <c r="C19" s="34"/>
      <c r="D19" s="34"/>
      <c r="E19" s="34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29" customFormat="1" ht="14.25">
      <c r="A20" s="34"/>
      <c r="B20" s="34"/>
      <c r="C20" s="34"/>
      <c r="D20" s="34"/>
      <c r="E20" s="34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9" customFormat="1" ht="14.25">
      <c r="A21" s="34"/>
      <c r="B21" s="34"/>
      <c r="C21" s="34"/>
      <c r="D21" s="34"/>
      <c r="E21" s="34"/>
      <c r="H21" s="28"/>
      <c r="I21" s="28"/>
      <c r="J21" s="28"/>
      <c r="K21" s="28"/>
      <c r="L21" s="28"/>
      <c r="M21" s="28"/>
      <c r="N21" s="28"/>
      <c r="O21" s="28"/>
      <c r="P21" s="28"/>
    </row>
    <row r="22" spans="8:16" s="29" customFormat="1" ht="15" customHeight="1">
      <c r="H22" s="28"/>
      <c r="I22" s="28"/>
      <c r="J22" s="28"/>
      <c r="K22" s="28"/>
      <c r="L22" s="28"/>
      <c r="M22" s="28"/>
      <c r="N22" s="28"/>
      <c r="O22" s="28"/>
      <c r="P22" s="28"/>
    </row>
    <row r="23" spans="8:16" s="29" customFormat="1" ht="14.25">
      <c r="H23" s="28"/>
      <c r="I23" s="28"/>
      <c r="J23" s="28"/>
      <c r="K23" s="28"/>
      <c r="L23" s="28"/>
      <c r="M23" s="28"/>
      <c r="N23" s="28"/>
      <c r="O23" s="28"/>
      <c r="P23" s="28"/>
    </row>
    <row r="24" spans="1:5" s="67" customFormat="1" ht="15">
      <c r="A24" s="187" t="s">
        <v>373</v>
      </c>
      <c r="B24" s="2"/>
      <c r="C24" s="65"/>
      <c r="D24" s="66" t="s">
        <v>374</v>
      </c>
      <c r="E24" s="24"/>
    </row>
    <row r="25" spans="1:5" s="67" customFormat="1" ht="12.75">
      <c r="A25" s="2"/>
      <c r="B25" s="2"/>
      <c r="C25" s="11"/>
      <c r="D25" s="2"/>
      <c r="E25" s="24"/>
    </row>
    <row r="26" spans="1:5" s="67" customFormat="1" ht="14.25">
      <c r="A26" s="2"/>
      <c r="B26" s="2"/>
      <c r="C26" s="68"/>
      <c r="D26" s="69" t="s">
        <v>375</v>
      </c>
      <c r="E26" s="24"/>
    </row>
    <row r="27" spans="1:5" s="67" customFormat="1" ht="12.75">
      <c r="A27" s="2"/>
      <c r="B27" s="2"/>
      <c r="C27" s="11"/>
      <c r="D27" s="2"/>
      <c r="E27" s="70" t="s">
        <v>376</v>
      </c>
    </row>
    <row r="28" spans="1:5" s="67" customFormat="1" ht="14.25">
      <c r="A28" s="2"/>
      <c r="B28" s="2"/>
      <c r="C28" s="68"/>
      <c r="D28" s="69" t="s">
        <v>377</v>
      </c>
      <c r="E28" s="24"/>
    </row>
    <row r="29" spans="1:5" s="67" customFormat="1" ht="12.75">
      <c r="A29" s="2"/>
      <c r="B29" s="2"/>
      <c r="C29" s="11"/>
      <c r="D29" s="71" t="s">
        <v>378</v>
      </c>
      <c r="E29" s="24"/>
    </row>
    <row r="30" spans="1:8" s="137" customFormat="1" ht="15">
      <c r="A30" s="183"/>
      <c r="B30" s="167"/>
      <c r="C30" s="168"/>
      <c r="D30" s="166"/>
      <c r="E30" s="138"/>
      <c r="F30" s="138"/>
      <c r="G30" s="138"/>
      <c r="H30" s="138"/>
    </row>
  </sheetData>
  <sheetProtection sheet="1" objects="1" scenarios="1" formatCells="0" formatColumns="0" formatRows="0" insertColumns="0" insertRows="0" insertHyperlinks="0" deleteColumns="0" deleteRows="0"/>
  <protectedRanges>
    <protectedRange password="CF7A" sqref="A8:E8 A10:E10 A1:E1 A16:E29" name="Range1_3"/>
    <protectedRange password="CF7A" sqref="F14 E13:E15" name="Range1_1_3"/>
  </protectedRanges>
  <mergeCells count="6">
    <mergeCell ref="A9:E9"/>
    <mergeCell ref="E14:F14"/>
    <mergeCell ref="C2:G2"/>
    <mergeCell ref="C4:G4"/>
    <mergeCell ref="A5:B5"/>
    <mergeCell ref="C5:G5"/>
  </mergeCells>
  <printOptions horizontalCentered="1" verticalCentered="1"/>
  <pageMargins left="0.7086614173228347" right="0.38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1"/>
  <sheetViews>
    <sheetView zoomScale="98" zoomScaleNormal="98" zoomScalePageLayoutView="0" workbookViewId="0" topLeftCell="A3">
      <pane ySplit="10" topLeftCell="A13" activePane="bottomLeft" state="frozen"/>
      <selection pane="topLeft" activeCell="A3" sqref="A3"/>
      <selection pane="bottomLeft" activeCell="G8" sqref="A8:IV9"/>
    </sheetView>
  </sheetViews>
  <sheetFormatPr defaultColWidth="9.140625" defaultRowHeight="12.75"/>
  <cols>
    <col min="1" max="1" width="24.421875" style="322" customWidth="1"/>
    <col min="2" max="2" width="62.8515625" style="11" customWidth="1"/>
    <col min="3" max="3" width="7.57421875" style="11" customWidth="1"/>
    <col min="4" max="4" width="11.140625" style="11" customWidth="1"/>
    <col min="5" max="5" width="10.140625" style="11" customWidth="1"/>
    <col min="6" max="6" width="14.57421875" style="11" customWidth="1"/>
    <col min="7" max="16384" width="9.140625" style="11" customWidth="1"/>
  </cols>
  <sheetData>
    <row r="1" spans="1:6" ht="12.75">
      <c r="A1" s="506" t="s">
        <v>235</v>
      </c>
      <c r="B1" s="506"/>
      <c r="C1" s="506"/>
      <c r="D1" s="506"/>
      <c r="E1" s="506"/>
      <c r="F1" s="506"/>
    </row>
    <row r="2" spans="1:6" ht="12.75">
      <c r="A2" s="506"/>
      <c r="B2" s="506"/>
      <c r="C2" s="506"/>
      <c r="D2" s="506"/>
      <c r="E2" s="506"/>
      <c r="F2" s="506"/>
    </row>
    <row r="3" spans="1:6" s="141" customFormat="1" ht="15">
      <c r="A3" s="438" t="s">
        <v>560</v>
      </c>
      <c r="B3" s="474" t="s">
        <v>380</v>
      </c>
      <c r="C3" s="474"/>
      <c r="D3" s="474"/>
      <c r="E3" s="474"/>
      <c r="F3" s="474"/>
    </row>
    <row r="4" spans="1:6" s="141" customFormat="1" ht="15">
      <c r="A4" s="438" t="s">
        <v>561</v>
      </c>
      <c r="B4" s="474" t="s">
        <v>564</v>
      </c>
      <c r="C4" s="474"/>
      <c r="D4" s="474"/>
      <c r="E4" s="474"/>
      <c r="F4" s="474"/>
    </row>
    <row r="5" spans="1:6" s="141" customFormat="1" ht="30.75" customHeight="1">
      <c r="A5" s="440" t="s">
        <v>558</v>
      </c>
      <c r="B5" s="479"/>
      <c r="C5" s="479"/>
      <c r="D5" s="479"/>
      <c r="E5" s="479"/>
      <c r="F5" s="479"/>
    </row>
    <row r="6" spans="1:7" s="141" customFormat="1" ht="18" customHeight="1">
      <c r="A6" s="441" t="s">
        <v>559</v>
      </c>
      <c r="B6" s="523"/>
      <c r="C6" s="523"/>
      <c r="D6" s="523"/>
      <c r="E6" s="523"/>
      <c r="F6" s="523"/>
      <c r="G6" s="434"/>
    </row>
    <row r="7" spans="1:7" s="460" customFormat="1" ht="18" customHeight="1">
      <c r="A7" s="457"/>
      <c r="B7" s="458"/>
      <c r="C7" s="458"/>
      <c r="D7" s="458"/>
      <c r="E7" s="458"/>
      <c r="F7" s="458"/>
      <c r="G7" s="459"/>
    </row>
    <row r="8" spans="1:16" s="29" customFormat="1" ht="20.25" customHeight="1">
      <c r="A8" s="506" t="s">
        <v>381</v>
      </c>
      <c r="B8" s="506"/>
      <c r="C8" s="506"/>
      <c r="D8" s="506"/>
      <c r="E8" s="506"/>
      <c r="F8" s="506"/>
      <c r="G8" s="26"/>
      <c r="H8" s="27"/>
      <c r="I8" s="27"/>
      <c r="J8" s="27"/>
      <c r="K8" s="27"/>
      <c r="L8" s="28"/>
      <c r="M8" s="28"/>
      <c r="N8" s="28"/>
      <c r="O8" s="28"/>
      <c r="P8" s="28"/>
    </row>
    <row r="9" spans="1:16" s="29" customFormat="1" ht="15" customHeight="1">
      <c r="A9" s="506"/>
      <c r="B9" s="506"/>
      <c r="C9" s="506"/>
      <c r="D9" s="506"/>
      <c r="E9" s="506"/>
      <c r="F9" s="506"/>
      <c r="G9" s="30"/>
      <c r="H9" s="31"/>
      <c r="I9" s="31"/>
      <c r="J9" s="31"/>
      <c r="K9" s="31"/>
      <c r="L9" s="28"/>
      <c r="M9" s="28"/>
      <c r="N9" s="28"/>
      <c r="O9" s="28"/>
      <c r="P9" s="28"/>
    </row>
    <row r="10" ht="13.5" thickBot="1">
      <c r="F10" s="25" t="s">
        <v>367</v>
      </c>
    </row>
    <row r="11" spans="3:6" ht="12.75">
      <c r="C11" s="519" t="s">
        <v>189</v>
      </c>
      <c r="D11" s="519" t="s">
        <v>366</v>
      </c>
      <c r="E11" s="521" t="s">
        <v>203</v>
      </c>
      <c r="F11" s="521" t="s">
        <v>368</v>
      </c>
    </row>
    <row r="12" spans="3:6" ht="13.5" thickBot="1">
      <c r="C12" s="520"/>
      <c r="D12" s="520"/>
      <c r="E12" s="522"/>
      <c r="F12" s="522"/>
    </row>
    <row r="14" spans="2:6" ht="12.75">
      <c r="B14" s="396" t="s">
        <v>246</v>
      </c>
      <c r="C14" s="2"/>
      <c r="D14" s="2"/>
      <c r="E14" s="416"/>
      <c r="F14" s="417"/>
    </row>
    <row r="15" spans="2:6" ht="12.75">
      <c r="B15" s="395"/>
      <c r="E15" s="418"/>
      <c r="F15" s="419"/>
    </row>
    <row r="16" spans="1:6" ht="12.75">
      <c r="A16" s="401" t="s">
        <v>555</v>
      </c>
      <c r="B16" s="399" t="s">
        <v>19</v>
      </c>
      <c r="C16" s="400" t="s">
        <v>190</v>
      </c>
      <c r="D16" s="400">
        <v>6</v>
      </c>
      <c r="E16" s="422"/>
      <c r="F16" s="423">
        <f>D16*E16</f>
        <v>0</v>
      </c>
    </row>
    <row r="17" spans="1:6" ht="12.75">
      <c r="A17" s="401" t="s">
        <v>556</v>
      </c>
      <c r="B17" s="398" t="s">
        <v>247</v>
      </c>
      <c r="C17" s="5" t="s">
        <v>191</v>
      </c>
      <c r="D17" s="5">
        <v>1</v>
      </c>
      <c r="E17" s="414"/>
      <c r="F17" s="415">
        <f>D17*E17</f>
        <v>0</v>
      </c>
    </row>
    <row r="18" spans="1:6" ht="12.75">
      <c r="A18" s="401" t="s">
        <v>557</v>
      </c>
      <c r="B18" s="398" t="s">
        <v>248</v>
      </c>
      <c r="C18" s="5" t="s">
        <v>191</v>
      </c>
      <c r="D18" s="5">
        <v>2</v>
      </c>
      <c r="E18" s="414"/>
      <c r="F18" s="415">
        <f>D18*E18</f>
        <v>0</v>
      </c>
    </row>
    <row r="19" spans="2:6" ht="12.75">
      <c r="B19" s="397"/>
      <c r="C19" s="6"/>
      <c r="D19" s="6"/>
      <c r="E19" s="420"/>
      <c r="F19" s="421">
        <f>SUM(F16:F18)</f>
        <v>0</v>
      </c>
    </row>
    <row r="20" spans="2:6" ht="12.75">
      <c r="B20" s="395"/>
      <c r="E20" s="418"/>
      <c r="F20" s="419"/>
    </row>
    <row r="21" spans="2:6" ht="12.75">
      <c r="B21" s="396" t="s">
        <v>382</v>
      </c>
      <c r="C21" s="2"/>
      <c r="D21" s="2"/>
      <c r="E21" s="416"/>
      <c r="F21" s="417"/>
    </row>
    <row r="22" spans="2:6" ht="12.75">
      <c r="B22" s="395"/>
      <c r="E22" s="418"/>
      <c r="F22" s="419"/>
    </row>
    <row r="23" spans="1:6" ht="12.75">
      <c r="A23" s="401" t="s">
        <v>555</v>
      </c>
      <c r="B23" s="399" t="s">
        <v>383</v>
      </c>
      <c r="C23" s="400" t="s">
        <v>190</v>
      </c>
      <c r="D23" s="400">
        <v>6</v>
      </c>
      <c r="E23" s="422"/>
      <c r="F23" s="423">
        <f>D23*E23</f>
        <v>0</v>
      </c>
    </row>
    <row r="24" spans="1:6" ht="12.75">
      <c r="A24" s="401" t="s">
        <v>556</v>
      </c>
      <c r="B24" s="398" t="s">
        <v>247</v>
      </c>
      <c r="C24" s="5" t="s">
        <v>191</v>
      </c>
      <c r="D24" s="5">
        <v>1</v>
      </c>
      <c r="E24" s="414"/>
      <c r="F24" s="415">
        <f>D24*E24</f>
        <v>0</v>
      </c>
    </row>
    <row r="25" spans="1:6" ht="12.75">
      <c r="A25" s="401" t="s">
        <v>557</v>
      </c>
      <c r="B25" s="398" t="s">
        <v>248</v>
      </c>
      <c r="C25" s="5" t="s">
        <v>191</v>
      </c>
      <c r="D25" s="5">
        <v>2</v>
      </c>
      <c r="E25" s="414"/>
      <c r="F25" s="415">
        <f>D25*E25</f>
        <v>0</v>
      </c>
    </row>
    <row r="26" spans="2:6" ht="12.75">
      <c r="B26" s="397"/>
      <c r="C26" s="6"/>
      <c r="D26" s="6"/>
      <c r="E26" s="9"/>
      <c r="F26" s="10">
        <f>SUM(F23:F25)</f>
        <v>0</v>
      </c>
    </row>
    <row r="27" ht="12.75">
      <c r="B27" s="395"/>
    </row>
    <row r="30" spans="1:16" s="29" customFormat="1" ht="14.25">
      <c r="A30" s="39" t="s">
        <v>17</v>
      </c>
      <c r="B30" s="461" t="s">
        <v>371</v>
      </c>
      <c r="C30" s="462"/>
      <c r="D30" s="62"/>
      <c r="E30" s="62"/>
      <c r="H30" s="28"/>
      <c r="I30" s="28"/>
      <c r="J30" s="28"/>
      <c r="K30" s="28"/>
      <c r="L30" s="28"/>
      <c r="M30" s="28"/>
      <c r="N30" s="28"/>
      <c r="O30" s="28"/>
      <c r="P30" s="28"/>
    </row>
    <row r="31" spans="8:16" s="29" customFormat="1" ht="14.25">
      <c r="H31" s="28"/>
      <c r="I31" s="28"/>
      <c r="J31" s="28"/>
      <c r="K31" s="28"/>
      <c r="L31" s="28"/>
      <c r="M31" s="28"/>
      <c r="N31" s="28"/>
      <c r="O31" s="28"/>
      <c r="P31" s="28"/>
    </row>
    <row r="32" spans="8:16" s="29" customFormat="1" ht="14.25">
      <c r="H32" s="28"/>
      <c r="I32" s="28"/>
      <c r="J32" s="28"/>
      <c r="K32" s="28"/>
      <c r="L32" s="28"/>
      <c r="M32" s="28"/>
      <c r="N32" s="28"/>
      <c r="O32" s="28"/>
      <c r="P32" s="28"/>
    </row>
    <row r="33" spans="8:16" s="29" customFormat="1" ht="14.25">
      <c r="H33" s="28"/>
      <c r="I33" s="28"/>
      <c r="J33" s="28"/>
      <c r="K33" s="28"/>
      <c r="L33" s="28"/>
      <c r="M33" s="28"/>
      <c r="N33" s="28"/>
      <c r="O33" s="28"/>
      <c r="P33" s="28"/>
    </row>
    <row r="34" spans="8:16" s="29" customFormat="1" ht="15" customHeight="1">
      <c r="H34" s="28"/>
      <c r="I34" s="28"/>
      <c r="J34" s="28"/>
      <c r="K34" s="28"/>
      <c r="L34" s="28"/>
      <c r="M34" s="28"/>
      <c r="N34" s="28"/>
      <c r="O34" s="28"/>
      <c r="P34" s="28"/>
    </row>
    <row r="35" spans="8:16" s="29" customFormat="1" ht="14.25">
      <c r="H35" s="28"/>
      <c r="I35" s="28"/>
      <c r="J35" s="28"/>
      <c r="K35" s="28"/>
      <c r="L35" s="28"/>
      <c r="M35" s="28"/>
      <c r="N35" s="28"/>
      <c r="O35" s="28"/>
      <c r="P35" s="28"/>
    </row>
    <row r="36" spans="1:5" s="67" customFormat="1" ht="15">
      <c r="A36" s="65" t="s">
        <v>373</v>
      </c>
      <c r="B36" s="2"/>
      <c r="C36" s="65"/>
      <c r="D36" s="66" t="s">
        <v>374</v>
      </c>
      <c r="E36" s="24"/>
    </row>
    <row r="37" spans="1:5" s="67" customFormat="1" ht="12.75">
      <c r="A37" s="11"/>
      <c r="B37" s="2"/>
      <c r="C37" s="11"/>
      <c r="D37" s="2"/>
      <c r="E37" s="24"/>
    </row>
    <row r="38" spans="1:5" s="67" customFormat="1" ht="14.25">
      <c r="A38" s="11"/>
      <c r="B38" s="2"/>
      <c r="C38" s="68"/>
      <c r="D38" s="69" t="s">
        <v>375</v>
      </c>
      <c r="E38" s="24"/>
    </row>
    <row r="39" spans="1:5" s="67" customFormat="1" ht="12.75">
      <c r="A39" s="11"/>
      <c r="B39" s="2"/>
      <c r="C39" s="11"/>
      <c r="D39" s="2"/>
      <c r="E39" s="70" t="s">
        <v>376</v>
      </c>
    </row>
    <row r="40" spans="1:5" s="67" customFormat="1" ht="14.25">
      <c r="A40" s="11"/>
      <c r="B40" s="2"/>
      <c r="C40" s="68"/>
      <c r="D40" s="69" t="s">
        <v>377</v>
      </c>
      <c r="E40" s="24"/>
    </row>
    <row r="41" spans="1:5" s="67" customFormat="1" ht="12.75">
      <c r="A41" s="11"/>
      <c r="B41" s="2"/>
      <c r="C41" s="11"/>
      <c r="D41" s="71" t="s">
        <v>378</v>
      </c>
      <c r="E41" s="24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A8:E9" name="Range1_3_1"/>
    <protectedRange password="CF7A" sqref="A30:E41" name="Range1"/>
  </protectedRanges>
  <mergeCells count="10">
    <mergeCell ref="A1:F2"/>
    <mergeCell ref="C11:C12"/>
    <mergeCell ref="D11:D12"/>
    <mergeCell ref="E11:E12"/>
    <mergeCell ref="F11:F12"/>
    <mergeCell ref="B5:F5"/>
    <mergeCell ref="B3:F3"/>
    <mergeCell ref="B4:F4"/>
    <mergeCell ref="B6:F6"/>
    <mergeCell ref="A8:F9"/>
  </mergeCells>
  <printOptions horizontalCentered="1" verticalCentered="1"/>
  <pageMargins left="0.7086614173228347" right="0.2362204724409449" top="0.35433070866141736" bottom="0.7874015748031497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7.28125" style="29" customWidth="1"/>
    <col min="2" max="2" width="15.8515625" style="29" customWidth="1"/>
    <col min="3" max="3" width="60.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66" customHeight="1">
      <c r="A5" s="441"/>
      <c r="B5" s="442" t="s">
        <v>562</v>
      </c>
      <c r="C5" s="492" t="s">
        <v>567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4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6.2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302</v>
      </c>
      <c r="N8" s="48">
        <v>10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415.8</v>
      </c>
      <c r="J9" s="73">
        <v>1416.02</v>
      </c>
      <c r="K9" s="73">
        <v>941.92</v>
      </c>
      <c r="L9" s="47"/>
      <c r="M9" s="48" t="s">
        <v>301</v>
      </c>
      <c r="N9" s="48">
        <v>87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101.25</v>
      </c>
      <c r="J10" s="48">
        <v>248.83</v>
      </c>
      <c r="K10" s="48">
        <v>130.5</v>
      </c>
      <c r="L10" s="47"/>
      <c r="M10" s="74" t="s">
        <v>210</v>
      </c>
      <c r="N10" s="74">
        <v>1.2</v>
      </c>
      <c r="O10" s="48" t="s">
        <v>303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112.63</v>
      </c>
      <c r="J11" s="48">
        <v>595.71</v>
      </c>
      <c r="K11" s="48">
        <v>977.76</v>
      </c>
      <c r="L11" s="47"/>
      <c r="M11" s="48" t="s">
        <v>299</v>
      </c>
      <c r="N11" s="48">
        <v>15</v>
      </c>
      <c r="O11" s="48" t="s">
        <v>288</v>
      </c>
      <c r="P11" s="48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27.55</v>
      </c>
      <c r="J12" s="48">
        <v>96.2</v>
      </c>
      <c r="K12" s="48">
        <v>141.75</v>
      </c>
      <c r="L12" s="47"/>
      <c r="M12" s="48" t="s">
        <v>300</v>
      </c>
      <c r="N12" s="48">
        <v>6</v>
      </c>
      <c r="O12" s="74" t="s">
        <v>252</v>
      </c>
      <c r="P12" s="74"/>
    </row>
    <row r="13" spans="1:16" ht="14.25">
      <c r="A13" s="48">
        <v>1</v>
      </c>
      <c r="B13" s="357"/>
      <c r="C13" s="53" t="s">
        <v>258</v>
      </c>
      <c r="D13" s="48" t="s">
        <v>190</v>
      </c>
      <c r="E13" s="51">
        <f>N13*2</f>
        <v>3002</v>
      </c>
      <c r="F13" s="377"/>
      <c r="G13" s="52">
        <f aca="true" t="shared" si="0" ref="G13:G19">E13*F13</f>
        <v>0</v>
      </c>
      <c r="H13" s="7"/>
      <c r="I13" s="48">
        <v>455.96</v>
      </c>
      <c r="J13" s="48">
        <v>801.92</v>
      </c>
      <c r="K13" s="48"/>
      <c r="L13" s="47"/>
      <c r="M13" s="48" t="s">
        <v>213</v>
      </c>
      <c r="N13" s="48">
        <v>1501</v>
      </c>
      <c r="O13" s="48" t="s">
        <v>284</v>
      </c>
      <c r="P13" s="48"/>
    </row>
    <row r="14" spans="1:16" ht="14.25">
      <c r="A14" s="48">
        <v>2</v>
      </c>
      <c r="B14" s="357"/>
      <c r="C14" s="53" t="s">
        <v>37</v>
      </c>
      <c r="D14" s="48" t="s">
        <v>190</v>
      </c>
      <c r="E14" s="51">
        <f>N8*10*2+N9*3.5*2+P8*5*2+P10*16*2</f>
        <v>809</v>
      </c>
      <c r="F14" s="377"/>
      <c r="G14" s="52">
        <f t="shared" si="0"/>
        <v>0</v>
      </c>
      <c r="H14" s="7"/>
      <c r="I14" s="48">
        <v>110.05</v>
      </c>
      <c r="J14" s="48">
        <v>126</v>
      </c>
      <c r="K14" s="48"/>
      <c r="L14" s="47"/>
      <c r="M14" s="48" t="s">
        <v>209</v>
      </c>
      <c r="N14" s="5">
        <v>2.1</v>
      </c>
      <c r="O14" s="48" t="s">
        <v>304</v>
      </c>
      <c r="P14" s="48"/>
    </row>
    <row r="15" spans="1:16" ht="28.5">
      <c r="A15" s="48">
        <v>3</v>
      </c>
      <c r="B15" s="357"/>
      <c r="C15" s="53" t="s">
        <v>260</v>
      </c>
      <c r="D15" s="48" t="s">
        <v>386</v>
      </c>
      <c r="E15" s="51">
        <f>N13*N14</f>
        <v>3152.1</v>
      </c>
      <c r="F15" s="377"/>
      <c r="G15" s="52">
        <f t="shared" si="0"/>
        <v>0</v>
      </c>
      <c r="H15" s="7"/>
      <c r="I15" s="48">
        <v>299.2</v>
      </c>
      <c r="J15" s="48">
        <v>1902.6</v>
      </c>
      <c r="K15" s="48"/>
      <c r="L15" s="75"/>
      <c r="M15" s="48" t="s">
        <v>208</v>
      </c>
      <c r="N15" s="48">
        <f>N8*N10*N11*2+N9*N10*N12*2</f>
        <v>1612.8</v>
      </c>
      <c r="O15" s="48" t="s">
        <v>253</v>
      </c>
      <c r="P15" s="48"/>
    </row>
    <row r="16" spans="1:16" ht="28.5">
      <c r="A16" s="48">
        <v>4</v>
      </c>
      <c r="B16" s="357"/>
      <c r="C16" s="53" t="s">
        <v>38</v>
      </c>
      <c r="D16" s="48" t="s">
        <v>386</v>
      </c>
      <c r="E16" s="51">
        <f>N8*N10*10+N9*N10*3.5+P8*P12*7+P10*P12*13</f>
        <v>485.4</v>
      </c>
      <c r="F16" s="377"/>
      <c r="G16" s="52">
        <f t="shared" si="0"/>
        <v>0</v>
      </c>
      <c r="H16" s="7"/>
      <c r="I16" s="48">
        <v>64.35</v>
      </c>
      <c r="J16" s="48">
        <v>339.75</v>
      </c>
      <c r="K16" s="48"/>
      <c r="L16" s="75"/>
      <c r="M16" s="48" t="s">
        <v>212</v>
      </c>
      <c r="N16" s="48">
        <v>25</v>
      </c>
      <c r="O16" s="48" t="s">
        <v>209</v>
      </c>
      <c r="P16" s="48"/>
    </row>
    <row r="17" spans="1:16" ht="14.25">
      <c r="A17" s="48">
        <v>5</v>
      </c>
      <c r="B17" s="357"/>
      <c r="C17" s="53" t="s">
        <v>39</v>
      </c>
      <c r="D17" s="48" t="s">
        <v>190</v>
      </c>
      <c r="E17" s="51">
        <f>(N8+N9)*1+P11*1</f>
        <v>97</v>
      </c>
      <c r="F17" s="377"/>
      <c r="G17" s="52">
        <f t="shared" si="0"/>
        <v>0</v>
      </c>
      <c r="H17" s="7"/>
      <c r="I17" s="48"/>
      <c r="J17" s="48">
        <v>511.1</v>
      </c>
      <c r="K17" s="48"/>
      <c r="L17" s="75"/>
      <c r="M17" s="48"/>
      <c r="N17" s="48"/>
      <c r="O17" s="48" t="s">
        <v>216</v>
      </c>
      <c r="P17" s="48"/>
    </row>
    <row r="18" spans="1:14" ht="16.5">
      <c r="A18" s="48">
        <v>6</v>
      </c>
      <c r="B18" s="357"/>
      <c r="C18" s="53" t="s">
        <v>40</v>
      </c>
      <c r="D18" s="48" t="s">
        <v>386</v>
      </c>
      <c r="E18" s="51">
        <f>(N8+N9)*2+P11*2</f>
        <v>194</v>
      </c>
      <c r="F18" s="377"/>
      <c r="G18" s="52">
        <f t="shared" si="0"/>
        <v>0</v>
      </c>
      <c r="H18" s="7"/>
      <c r="I18" s="48"/>
      <c r="J18" s="48">
        <v>78.4</v>
      </c>
      <c r="K18" s="48"/>
      <c r="L18" s="75"/>
      <c r="M18" s="76"/>
      <c r="N18" s="76"/>
    </row>
    <row r="19" spans="1:14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383.15000000000003</v>
      </c>
      <c r="F19" s="377"/>
      <c r="G19" s="52">
        <f t="shared" si="0"/>
        <v>0</v>
      </c>
      <c r="H19" s="7"/>
      <c r="I19" s="48"/>
      <c r="J19" s="48">
        <v>58.56</v>
      </c>
      <c r="K19" s="48"/>
      <c r="L19" s="75"/>
      <c r="M19" s="34"/>
      <c r="N19" s="34"/>
    </row>
    <row r="20" spans="1:14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48"/>
      <c r="L20" s="75"/>
      <c r="M20" s="34"/>
      <c r="N20" s="34"/>
    </row>
    <row r="21" spans="1:14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1110.7529999999997</v>
      </c>
      <c r="F21" s="377"/>
      <c r="G21" s="52">
        <f>E21*F21</f>
        <v>0</v>
      </c>
      <c r="H21" s="7"/>
      <c r="I21" s="48"/>
      <c r="J21" s="48"/>
      <c r="K21" s="48"/>
      <c r="L21" s="75"/>
      <c r="M21" s="34"/>
      <c r="N21" s="34"/>
    </row>
    <row r="22" spans="1:14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79.33949999999999</v>
      </c>
      <c r="F22" s="377"/>
      <c r="G22" s="52">
        <f>E22*F22</f>
        <v>0</v>
      </c>
      <c r="H22" s="7"/>
      <c r="I22" s="76">
        <f>SUM(I9:I21)</f>
        <v>1586.7899999999997</v>
      </c>
      <c r="J22" s="76">
        <f>SUM(J9:J21)</f>
        <v>6175.09</v>
      </c>
      <c r="K22" s="76">
        <f>SUM(K9:K21)</f>
        <v>2191.9300000000003</v>
      </c>
      <c r="L22" s="48">
        <f>SUM(I22:K22)</f>
        <v>9953.810000000001</v>
      </c>
      <c r="M22" s="34"/>
      <c r="N22" s="34"/>
    </row>
    <row r="23" spans="1:13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396.69749999999993</v>
      </c>
      <c r="F23" s="377"/>
      <c r="G23" s="52">
        <f>E23*F23</f>
        <v>0</v>
      </c>
      <c r="H23" s="7"/>
      <c r="I23" s="34"/>
      <c r="J23" s="34"/>
      <c r="K23" s="34"/>
      <c r="L23" s="34"/>
      <c r="M23" s="34"/>
    </row>
    <row r="24" spans="1:13" ht="15" customHeight="1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34"/>
      <c r="J24" s="34"/>
      <c r="K24" s="34"/>
      <c r="L24" s="34"/>
      <c r="M24" s="34"/>
    </row>
    <row r="25" spans="1:12" ht="15" customHeight="1">
      <c r="A25" s="497">
        <f>A24+1</f>
        <v>10</v>
      </c>
      <c r="B25" s="357"/>
      <c r="C25" s="49" t="s">
        <v>264</v>
      </c>
      <c r="D25" s="50" t="s">
        <v>385</v>
      </c>
      <c r="E25" s="51">
        <f>0.7*J22</f>
        <v>4322.563</v>
      </c>
      <c r="F25" s="377"/>
      <c r="G25" s="52">
        <f>E25*F25</f>
        <v>0</v>
      </c>
      <c r="H25" s="7"/>
      <c r="J25" s="48" t="s">
        <v>315</v>
      </c>
      <c r="K25" s="34"/>
      <c r="L25" s="34"/>
    </row>
    <row r="26" spans="1:12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0.05*J22</f>
        <v>308.7545</v>
      </c>
      <c r="F26" s="377"/>
      <c r="G26" s="52">
        <f>E26*F26</f>
        <v>0</v>
      </c>
      <c r="H26" s="7"/>
      <c r="J26" s="48">
        <v>58.56</v>
      </c>
      <c r="K26" s="34"/>
      <c r="L26" s="34"/>
    </row>
    <row r="27" spans="1:12" ht="16.5">
      <c r="A27" s="498">
        <f>A26+1</f>
        <v>12</v>
      </c>
      <c r="B27" s="357"/>
      <c r="C27" s="49" t="s">
        <v>265</v>
      </c>
      <c r="D27" s="50" t="s">
        <v>385</v>
      </c>
      <c r="E27" s="51">
        <f>0.25*J22</f>
        <v>1543.7725</v>
      </c>
      <c r="F27" s="377"/>
      <c r="G27" s="52">
        <f>E27*F27</f>
        <v>0</v>
      </c>
      <c r="H27" s="7"/>
      <c r="I27" s="34"/>
      <c r="J27" s="34"/>
      <c r="K27" s="34"/>
      <c r="L27" s="34"/>
    </row>
    <row r="28" spans="1:12" ht="15" customHeight="1">
      <c r="A28" s="496">
        <v>10</v>
      </c>
      <c r="B28" s="48"/>
      <c r="C28" s="53" t="s">
        <v>306</v>
      </c>
      <c r="D28" s="48"/>
      <c r="E28" s="48"/>
      <c r="F28" s="52"/>
      <c r="G28" s="52"/>
      <c r="H28" s="7"/>
      <c r="I28" s="34"/>
      <c r="J28" s="34"/>
      <c r="K28" s="34"/>
      <c r="L28" s="34"/>
    </row>
    <row r="29" spans="1:12" ht="15" customHeight="1">
      <c r="A29" s="497">
        <f>A28+1</f>
        <v>11</v>
      </c>
      <c r="B29" s="357"/>
      <c r="C29" s="49" t="s">
        <v>264</v>
      </c>
      <c r="D29" s="50" t="s">
        <v>385</v>
      </c>
      <c r="E29" s="51">
        <f>0.7*K22</f>
        <v>1534.351</v>
      </c>
      <c r="F29" s="377"/>
      <c r="G29" s="52">
        <f>E29*F29</f>
        <v>0</v>
      </c>
      <c r="H29" s="7"/>
      <c r="I29" s="34"/>
      <c r="J29" s="34"/>
      <c r="K29" s="34"/>
      <c r="L29" s="34"/>
    </row>
    <row r="30" spans="1:12" ht="16.5">
      <c r="A30" s="497">
        <f>A29+1</f>
        <v>12</v>
      </c>
      <c r="B30" s="357"/>
      <c r="C30" s="53" t="s">
        <v>263</v>
      </c>
      <c r="D30" s="50" t="s">
        <v>385</v>
      </c>
      <c r="E30" s="51">
        <f>0.05*K22</f>
        <v>109.59650000000002</v>
      </c>
      <c r="F30" s="377"/>
      <c r="G30" s="52">
        <f>E30*F30</f>
        <v>0</v>
      </c>
      <c r="H30" s="7"/>
      <c r="I30" s="34"/>
      <c r="J30" s="34"/>
      <c r="K30" s="34"/>
      <c r="L30" s="34"/>
    </row>
    <row r="31" spans="1:12" ht="16.5">
      <c r="A31" s="498">
        <f>A30+1</f>
        <v>13</v>
      </c>
      <c r="B31" s="357"/>
      <c r="C31" s="49" t="s">
        <v>265</v>
      </c>
      <c r="D31" s="50" t="s">
        <v>385</v>
      </c>
      <c r="E31" s="51">
        <f>0.25*K22</f>
        <v>547.9825000000001</v>
      </c>
      <c r="F31" s="377"/>
      <c r="G31" s="52">
        <f>E31*F31</f>
        <v>0</v>
      </c>
      <c r="H31" s="7"/>
      <c r="I31" s="34"/>
      <c r="J31" s="34"/>
      <c r="K31" s="34"/>
      <c r="L31" s="34"/>
    </row>
    <row r="32" spans="1:12" ht="28.5">
      <c r="A32" s="496">
        <v>11</v>
      </c>
      <c r="B32" s="48"/>
      <c r="C32" s="53" t="s">
        <v>244</v>
      </c>
      <c r="D32" s="96"/>
      <c r="E32" s="96"/>
      <c r="F32" s="52"/>
      <c r="G32" s="97"/>
      <c r="H32" s="7"/>
      <c r="I32" s="34"/>
      <c r="J32" s="34"/>
      <c r="K32" s="34"/>
      <c r="L32" s="34"/>
    </row>
    <row r="33" spans="1:12" ht="15" customHeight="1">
      <c r="A33" s="497"/>
      <c r="B33" s="357"/>
      <c r="C33" s="49" t="s">
        <v>199</v>
      </c>
      <c r="D33" s="50" t="s">
        <v>385</v>
      </c>
      <c r="E33" s="51">
        <f>0.6*N15</f>
        <v>967.68</v>
      </c>
      <c r="F33" s="377"/>
      <c r="G33" s="52">
        <f aca="true" t="shared" si="1" ref="G33:G61">E33*F33</f>
        <v>0</v>
      </c>
      <c r="H33" s="7"/>
      <c r="I33" s="34"/>
      <c r="J33" s="34"/>
      <c r="K33" s="34"/>
      <c r="L33" s="34"/>
    </row>
    <row r="34" spans="1:12" ht="16.5">
      <c r="A34" s="497"/>
      <c r="B34" s="357"/>
      <c r="C34" s="53" t="s">
        <v>266</v>
      </c>
      <c r="D34" s="50" t="s">
        <v>385</v>
      </c>
      <c r="E34" s="51">
        <f>0.05*N15</f>
        <v>80.64</v>
      </c>
      <c r="F34" s="377"/>
      <c r="G34" s="52">
        <f t="shared" si="1"/>
        <v>0</v>
      </c>
      <c r="H34" s="7"/>
      <c r="I34" s="34"/>
      <c r="J34" s="34"/>
      <c r="K34" s="34"/>
      <c r="L34" s="34"/>
    </row>
    <row r="35" spans="1:12" ht="16.5" customHeight="1">
      <c r="A35" s="498"/>
      <c r="B35" s="357"/>
      <c r="C35" s="49" t="s">
        <v>267</v>
      </c>
      <c r="D35" s="50" t="s">
        <v>385</v>
      </c>
      <c r="E35" s="51">
        <f>0.35*N15</f>
        <v>564.4799999999999</v>
      </c>
      <c r="F35" s="377"/>
      <c r="G35" s="52">
        <f t="shared" si="1"/>
        <v>0</v>
      </c>
      <c r="H35" s="7"/>
      <c r="I35" s="34"/>
      <c r="J35" s="34"/>
      <c r="K35" s="34"/>
      <c r="L35" s="34"/>
    </row>
    <row r="36" spans="1:12" ht="28.5">
      <c r="A36" s="48">
        <v>12</v>
      </c>
      <c r="B36" s="357"/>
      <c r="C36" s="80" t="s">
        <v>196</v>
      </c>
      <c r="D36" s="50" t="s">
        <v>385</v>
      </c>
      <c r="E36" s="51">
        <f>E23+E27+E31+E35</f>
        <v>3052.9325000000003</v>
      </c>
      <c r="F36" s="377"/>
      <c r="G36" s="52">
        <f t="shared" si="1"/>
        <v>0</v>
      </c>
      <c r="H36" s="7"/>
      <c r="I36" s="34"/>
      <c r="J36" s="34"/>
      <c r="K36" s="34"/>
      <c r="L36" s="34"/>
    </row>
    <row r="37" spans="1:12" ht="16.5">
      <c r="A37" s="48">
        <v>13</v>
      </c>
      <c r="B37" s="357"/>
      <c r="C37" s="55" t="s">
        <v>197</v>
      </c>
      <c r="D37" s="50" t="s">
        <v>385</v>
      </c>
      <c r="E37" s="81">
        <f>E36</f>
        <v>3052.9325000000003</v>
      </c>
      <c r="F37" s="377"/>
      <c r="G37" s="52">
        <f t="shared" si="1"/>
        <v>0</v>
      </c>
      <c r="H37" s="7"/>
      <c r="I37" s="34"/>
      <c r="J37" s="34"/>
      <c r="K37" s="34"/>
      <c r="L37" s="34"/>
    </row>
    <row r="38" spans="1:12" ht="16.5">
      <c r="A38" s="48">
        <v>14</v>
      </c>
      <c r="B38" s="357"/>
      <c r="C38" s="80" t="s">
        <v>72</v>
      </c>
      <c r="D38" s="50" t="s">
        <v>385</v>
      </c>
      <c r="E38" s="51">
        <f>L22+N15</f>
        <v>11566.61</v>
      </c>
      <c r="F38" s="377"/>
      <c r="G38" s="52">
        <f t="shared" si="1"/>
        <v>0</v>
      </c>
      <c r="H38" s="7"/>
      <c r="I38" s="34"/>
      <c r="J38" s="34"/>
      <c r="K38" s="34"/>
      <c r="L38" s="34"/>
    </row>
    <row r="39" spans="1:12" ht="16.5">
      <c r="A39" s="48">
        <v>15</v>
      </c>
      <c r="B39" s="357"/>
      <c r="C39" s="49" t="s">
        <v>387</v>
      </c>
      <c r="D39" s="48" t="s">
        <v>386</v>
      </c>
      <c r="E39" s="48">
        <f>N13*4</f>
        <v>6004</v>
      </c>
      <c r="F39" s="377"/>
      <c r="G39" s="52">
        <f t="shared" si="1"/>
        <v>0</v>
      </c>
      <c r="H39" s="7"/>
      <c r="I39" s="34"/>
      <c r="J39" s="34"/>
      <c r="K39" s="34"/>
      <c r="L39" s="51"/>
    </row>
    <row r="40" spans="1:16" s="30" customFormat="1" ht="15" customHeight="1">
      <c r="A40" s="48">
        <v>16</v>
      </c>
      <c r="B40" s="357"/>
      <c r="C40" s="80" t="s">
        <v>42</v>
      </c>
      <c r="D40" s="50" t="s">
        <v>385</v>
      </c>
      <c r="E40" s="51">
        <f>0.1*1.1*E42+0.1*1.2*E43+0.1*1.3*E44+0.1*1.4*E45+0.1*1.6*E46+0.1*2*E47+0.1*2.2*E48</f>
        <v>255.40000000000003</v>
      </c>
      <c r="F40" s="377"/>
      <c r="G40" s="52">
        <f t="shared" si="1"/>
        <v>0</v>
      </c>
      <c r="H40" s="7"/>
      <c r="I40" s="29"/>
      <c r="J40" s="29"/>
      <c r="K40" s="29"/>
      <c r="L40" s="29"/>
      <c r="M40" s="29"/>
      <c r="N40" s="29"/>
      <c r="O40" s="29"/>
      <c r="P40" s="29"/>
    </row>
    <row r="41" spans="1:8" ht="42.75">
      <c r="A41" s="48">
        <v>17</v>
      </c>
      <c r="B41" s="357"/>
      <c r="C41" s="53" t="s">
        <v>43</v>
      </c>
      <c r="D41" s="50" t="s">
        <v>385</v>
      </c>
      <c r="E41" s="51">
        <f>E38-E40-E65-E66-10.6-4.77-28.87-22.04-187.4-514.96-72.34-E51-E52-7.36</f>
        <v>9070.259999999998</v>
      </c>
      <c r="F41" s="377"/>
      <c r="G41" s="52">
        <f t="shared" si="1"/>
        <v>0</v>
      </c>
      <c r="H41" s="7"/>
    </row>
    <row r="42" spans="1:8" ht="14.25">
      <c r="A42" s="48">
        <v>18</v>
      </c>
      <c r="B42" s="357"/>
      <c r="C42" s="53" t="s">
        <v>291</v>
      </c>
      <c r="D42" s="48" t="s">
        <v>190</v>
      </c>
      <c r="E42" s="48">
        <v>150</v>
      </c>
      <c r="F42" s="377"/>
      <c r="G42" s="52">
        <f t="shared" si="1"/>
        <v>0</v>
      </c>
      <c r="H42" s="7"/>
    </row>
    <row r="43" spans="1:8" ht="14.25">
      <c r="A43" s="48">
        <v>19</v>
      </c>
      <c r="B43" s="357"/>
      <c r="C43" s="53" t="s">
        <v>271</v>
      </c>
      <c r="D43" s="48" t="s">
        <v>190</v>
      </c>
      <c r="E43" s="48">
        <v>38</v>
      </c>
      <c r="F43" s="377"/>
      <c r="G43" s="52">
        <f t="shared" si="1"/>
        <v>0</v>
      </c>
      <c r="H43" s="7"/>
    </row>
    <row r="44" spans="1:8" ht="14.25">
      <c r="A44" s="48">
        <v>20</v>
      </c>
      <c r="B44" s="357"/>
      <c r="C44" s="53" t="s">
        <v>272</v>
      </c>
      <c r="D44" s="48" t="s">
        <v>190</v>
      </c>
      <c r="E44" s="48">
        <v>142</v>
      </c>
      <c r="F44" s="377"/>
      <c r="G44" s="52">
        <f t="shared" si="1"/>
        <v>0</v>
      </c>
      <c r="H44" s="7"/>
    </row>
    <row r="45" spans="1:14" ht="14.25">
      <c r="A45" s="48">
        <v>21</v>
      </c>
      <c r="B45" s="357"/>
      <c r="C45" s="53" t="s">
        <v>273</v>
      </c>
      <c r="D45" s="48" t="s">
        <v>190</v>
      </c>
      <c r="E45" s="48">
        <v>78</v>
      </c>
      <c r="F45" s="377"/>
      <c r="G45" s="52">
        <f t="shared" si="1"/>
        <v>0</v>
      </c>
      <c r="H45" s="7"/>
      <c r="N45" s="34"/>
    </row>
    <row r="46" spans="1:14" ht="14.25">
      <c r="A46" s="48">
        <v>22</v>
      </c>
      <c r="B46" s="357"/>
      <c r="C46" s="53" t="s">
        <v>307</v>
      </c>
      <c r="D46" s="48" t="s">
        <v>190</v>
      </c>
      <c r="E46" s="48">
        <v>373</v>
      </c>
      <c r="F46" s="377"/>
      <c r="G46" s="52">
        <f t="shared" si="1"/>
        <v>0</v>
      </c>
      <c r="H46" s="7"/>
      <c r="N46" s="34"/>
    </row>
    <row r="47" spans="1:14" ht="14.25">
      <c r="A47" s="48">
        <v>23</v>
      </c>
      <c r="B47" s="357"/>
      <c r="C47" s="53" t="s">
        <v>308</v>
      </c>
      <c r="D47" s="48" t="s">
        <v>190</v>
      </c>
      <c r="E47" s="48">
        <v>656</v>
      </c>
      <c r="F47" s="377"/>
      <c r="G47" s="52">
        <f t="shared" si="1"/>
        <v>0</v>
      </c>
      <c r="H47" s="7"/>
      <c r="N47" s="34"/>
    </row>
    <row r="48" spans="1:14" ht="28.5">
      <c r="A48" s="48">
        <v>24</v>
      </c>
      <c r="B48" s="357"/>
      <c r="C48" s="53" t="s">
        <v>314</v>
      </c>
      <c r="D48" s="48" t="s">
        <v>190</v>
      </c>
      <c r="E48" s="48">
        <v>64</v>
      </c>
      <c r="F48" s="377"/>
      <c r="G48" s="52">
        <f t="shared" si="1"/>
        <v>0</v>
      </c>
      <c r="H48" s="7"/>
      <c r="N48" s="34"/>
    </row>
    <row r="49" spans="1:14" ht="28.5">
      <c r="A49" s="48">
        <v>25</v>
      </c>
      <c r="B49" s="357"/>
      <c r="C49" s="53" t="s">
        <v>392</v>
      </c>
      <c r="D49" s="48" t="s">
        <v>190</v>
      </c>
      <c r="E49" s="48">
        <v>366</v>
      </c>
      <c r="F49" s="377"/>
      <c r="G49" s="52">
        <f t="shared" si="1"/>
        <v>0</v>
      </c>
      <c r="H49" s="7"/>
      <c r="N49" s="34"/>
    </row>
    <row r="50" spans="1:14" ht="16.5">
      <c r="A50" s="48">
        <v>26</v>
      </c>
      <c r="B50" s="357"/>
      <c r="C50" s="53" t="s">
        <v>316</v>
      </c>
      <c r="D50" s="48" t="s">
        <v>386</v>
      </c>
      <c r="E50" s="51">
        <v>439.2</v>
      </c>
      <c r="F50" s="377"/>
      <c r="G50" s="52">
        <f t="shared" si="1"/>
        <v>0</v>
      </c>
      <c r="H50" s="7"/>
      <c r="N50" s="34"/>
    </row>
    <row r="51" spans="1:14" ht="15" customHeight="1">
      <c r="A51" s="48">
        <v>27</v>
      </c>
      <c r="B51" s="357"/>
      <c r="C51" s="80" t="s">
        <v>318</v>
      </c>
      <c r="D51" s="50" t="s">
        <v>385</v>
      </c>
      <c r="E51" s="51">
        <f>J26-E52-7.35</f>
        <v>32.910000000000004</v>
      </c>
      <c r="F51" s="377"/>
      <c r="G51" s="52">
        <f t="shared" si="1"/>
        <v>0</v>
      </c>
      <c r="I51" s="34"/>
      <c r="J51" s="34"/>
      <c r="N51" s="34"/>
    </row>
    <row r="52" spans="1:10" ht="15" customHeight="1">
      <c r="A52" s="48">
        <v>28</v>
      </c>
      <c r="B52" s="357"/>
      <c r="C52" s="80" t="s">
        <v>317</v>
      </c>
      <c r="D52" s="50" t="s">
        <v>385</v>
      </c>
      <c r="E52" s="51">
        <v>18.3</v>
      </c>
      <c r="F52" s="377"/>
      <c r="G52" s="52">
        <f t="shared" si="1"/>
        <v>0</v>
      </c>
      <c r="I52" s="34"/>
      <c r="J52" s="34"/>
    </row>
    <row r="53" spans="1:12" ht="28.5">
      <c r="A53" s="48">
        <v>29</v>
      </c>
      <c r="B53" s="357"/>
      <c r="C53" s="53" t="s">
        <v>309</v>
      </c>
      <c r="D53" s="48" t="s">
        <v>191</v>
      </c>
      <c r="E53" s="48">
        <v>8</v>
      </c>
      <c r="F53" s="377"/>
      <c r="G53" s="52">
        <f t="shared" si="1"/>
        <v>0</v>
      </c>
      <c r="H53" s="7"/>
      <c r="I53" s="30"/>
      <c r="J53" s="30"/>
      <c r="K53" s="30"/>
      <c r="L53" s="30"/>
    </row>
    <row r="54" spans="1:12" ht="28.5">
      <c r="A54" s="48">
        <v>30</v>
      </c>
      <c r="B54" s="357"/>
      <c r="C54" s="53" t="s">
        <v>310</v>
      </c>
      <c r="D54" s="48" t="s">
        <v>191</v>
      </c>
      <c r="E54" s="48">
        <v>11</v>
      </c>
      <c r="F54" s="377"/>
      <c r="G54" s="52">
        <f t="shared" si="1"/>
        <v>0</v>
      </c>
      <c r="H54" s="7"/>
      <c r="I54" s="30"/>
      <c r="J54" s="30"/>
      <c r="K54" s="30"/>
      <c r="L54" s="30"/>
    </row>
    <row r="55" spans="1:8" ht="28.5">
      <c r="A55" s="48">
        <v>31</v>
      </c>
      <c r="B55" s="357"/>
      <c r="C55" s="53" t="s">
        <v>311</v>
      </c>
      <c r="D55" s="48" t="s">
        <v>191</v>
      </c>
      <c r="E55" s="48">
        <v>4</v>
      </c>
      <c r="F55" s="377"/>
      <c r="G55" s="52">
        <f t="shared" si="1"/>
        <v>0</v>
      </c>
      <c r="H55" s="7"/>
    </row>
    <row r="56" spans="1:14" ht="28.5">
      <c r="A56" s="48">
        <v>32</v>
      </c>
      <c r="B56" s="357"/>
      <c r="C56" s="53" t="s">
        <v>312</v>
      </c>
      <c r="D56" s="48" t="s">
        <v>191</v>
      </c>
      <c r="E56" s="48">
        <v>2</v>
      </c>
      <c r="F56" s="377"/>
      <c r="G56" s="52">
        <f t="shared" si="1"/>
        <v>0</v>
      </c>
      <c r="H56" s="7"/>
      <c r="N56" s="34"/>
    </row>
    <row r="57" spans="1:14" ht="14.25">
      <c r="A57" s="48">
        <v>33</v>
      </c>
      <c r="B57" s="357"/>
      <c r="C57" s="53" t="s">
        <v>200</v>
      </c>
      <c r="D57" s="48" t="s">
        <v>191</v>
      </c>
      <c r="E57" s="48">
        <f>N8+N9</f>
        <v>97</v>
      </c>
      <c r="F57" s="377"/>
      <c r="G57" s="52">
        <f t="shared" si="1"/>
        <v>0</v>
      </c>
      <c r="H57" s="7"/>
      <c r="N57" s="34"/>
    </row>
    <row r="58" spans="1:14" ht="30" customHeight="1">
      <c r="A58" s="48">
        <v>34</v>
      </c>
      <c r="B58" s="357"/>
      <c r="C58" s="53" t="s">
        <v>233</v>
      </c>
      <c r="D58" s="48" t="s">
        <v>191</v>
      </c>
      <c r="E58" s="51">
        <v>44</v>
      </c>
      <c r="F58" s="377"/>
      <c r="G58" s="52">
        <f t="shared" si="1"/>
        <v>0</v>
      </c>
      <c r="H58" s="7"/>
      <c r="N58" s="34"/>
    </row>
    <row r="59" spans="1:14" ht="14.25">
      <c r="A59" s="48">
        <v>35</v>
      </c>
      <c r="B59" s="357"/>
      <c r="C59" s="49" t="s">
        <v>192</v>
      </c>
      <c r="D59" s="48" t="s">
        <v>193</v>
      </c>
      <c r="E59" s="51">
        <f>40*N13/2000</f>
        <v>30.02</v>
      </c>
      <c r="F59" s="377"/>
      <c r="G59" s="52">
        <f t="shared" si="1"/>
        <v>0</v>
      </c>
      <c r="H59" s="34"/>
      <c r="I59" s="34"/>
      <c r="N59" s="34"/>
    </row>
    <row r="60" spans="1:15" ht="14.25">
      <c r="A60" s="48">
        <v>36</v>
      </c>
      <c r="B60" s="357"/>
      <c r="C60" s="95" t="s">
        <v>282</v>
      </c>
      <c r="D60" s="48" t="s">
        <v>190</v>
      </c>
      <c r="E60" s="51">
        <f>E17</f>
        <v>97</v>
      </c>
      <c r="F60" s="377"/>
      <c r="G60" s="52">
        <f t="shared" si="1"/>
        <v>0</v>
      </c>
      <c r="H60" s="7"/>
      <c r="M60" s="30"/>
      <c r="N60" s="30"/>
      <c r="O60" s="34"/>
    </row>
    <row r="61" spans="1:8" ht="16.5">
      <c r="A61" s="48">
        <v>37</v>
      </c>
      <c r="B61" s="357"/>
      <c r="C61" s="95" t="s">
        <v>283</v>
      </c>
      <c r="D61" s="48" t="s">
        <v>386</v>
      </c>
      <c r="E61" s="51">
        <f>E18</f>
        <v>194</v>
      </c>
      <c r="F61" s="377"/>
      <c r="G61" s="52">
        <f t="shared" si="1"/>
        <v>0</v>
      </c>
      <c r="H61" s="7"/>
    </row>
    <row r="62" spans="1:16" ht="28.5">
      <c r="A62" s="48">
        <v>38</v>
      </c>
      <c r="B62" s="357"/>
      <c r="C62" s="77" t="s">
        <v>293</v>
      </c>
      <c r="D62" s="48" t="s">
        <v>195</v>
      </c>
      <c r="E62" s="51">
        <f>(E15+E16)*96/1000</f>
        <v>349.2</v>
      </c>
      <c r="F62" s="377"/>
      <c r="G62" s="52">
        <f aca="true" t="shared" si="2" ref="G62:G68">E62*F62</f>
        <v>0</v>
      </c>
      <c r="H62" s="7"/>
      <c r="O62" s="30"/>
      <c r="P62" s="30"/>
    </row>
    <row r="63" spans="1:16" s="2" customFormat="1" ht="28.5">
      <c r="A63" s="48">
        <v>39</v>
      </c>
      <c r="B63" s="357"/>
      <c r="C63" s="77" t="s">
        <v>294</v>
      </c>
      <c r="D63" s="48" t="s">
        <v>195</v>
      </c>
      <c r="E63" s="51">
        <v>136</v>
      </c>
      <c r="F63" s="377"/>
      <c r="G63" s="52">
        <f t="shared" si="2"/>
        <v>0</v>
      </c>
      <c r="H63" s="7"/>
      <c r="I63" s="29"/>
      <c r="J63" s="29"/>
      <c r="K63" s="29"/>
      <c r="L63" s="29"/>
      <c r="M63" s="29"/>
      <c r="N63" s="29"/>
      <c r="O63" s="30"/>
      <c r="P63" s="30"/>
    </row>
    <row r="64" spans="1:16" s="30" customFormat="1" ht="28.5">
      <c r="A64" s="48">
        <v>40</v>
      </c>
      <c r="B64" s="357"/>
      <c r="C64" s="53" t="s">
        <v>295</v>
      </c>
      <c r="D64" s="83" t="s">
        <v>195</v>
      </c>
      <c r="E64" s="51">
        <f>(E15+E16)*0.06*2.4</f>
        <v>523.8</v>
      </c>
      <c r="F64" s="377"/>
      <c r="G64" s="52">
        <f t="shared" si="2"/>
        <v>0</v>
      </c>
      <c r="H64" s="7"/>
      <c r="I64" s="29"/>
      <c r="J64" s="29"/>
      <c r="K64" s="29"/>
      <c r="L64" s="29"/>
      <c r="M64" s="29"/>
      <c r="N64" s="29"/>
      <c r="O64" s="29"/>
      <c r="P64" s="29"/>
    </row>
    <row r="65" spans="1:14" ht="28.5">
      <c r="A65" s="48">
        <v>41</v>
      </c>
      <c r="B65" s="357"/>
      <c r="C65" s="53" t="s">
        <v>298</v>
      </c>
      <c r="D65" s="83" t="s">
        <v>385</v>
      </c>
      <c r="E65" s="85">
        <v>562.34</v>
      </c>
      <c r="F65" s="377"/>
      <c r="G65" s="52">
        <f t="shared" si="2"/>
        <v>0</v>
      </c>
      <c r="H65" s="7"/>
      <c r="N65" s="3"/>
    </row>
    <row r="66" spans="1:16" s="2" customFormat="1" ht="28.5">
      <c r="A66" s="48">
        <v>42</v>
      </c>
      <c r="B66" s="357"/>
      <c r="C66" s="53" t="s">
        <v>21</v>
      </c>
      <c r="D66" s="83" t="s">
        <v>385</v>
      </c>
      <c r="E66" s="85">
        <v>779.06</v>
      </c>
      <c r="F66" s="377"/>
      <c r="G66" s="52">
        <f t="shared" si="2"/>
        <v>0</v>
      </c>
      <c r="H66" s="7"/>
      <c r="I66" s="29"/>
      <c r="J66" s="29"/>
      <c r="K66" s="29"/>
      <c r="L66" s="29"/>
      <c r="M66" s="29"/>
      <c r="N66" s="29"/>
      <c r="O66" s="3"/>
      <c r="P66" s="6"/>
    </row>
    <row r="67" spans="1:16" ht="14.25">
      <c r="A67" s="48">
        <v>43</v>
      </c>
      <c r="B67" s="357"/>
      <c r="C67" s="77" t="s">
        <v>194</v>
      </c>
      <c r="D67" s="74" t="s">
        <v>190</v>
      </c>
      <c r="E67" s="85">
        <f>E13+E14</f>
        <v>3811</v>
      </c>
      <c r="F67" s="377"/>
      <c r="G67" s="52">
        <f t="shared" si="2"/>
        <v>0</v>
      </c>
      <c r="H67" s="7"/>
      <c r="N67" s="3"/>
      <c r="O67" s="30"/>
      <c r="P67" s="30"/>
    </row>
    <row r="68" spans="1:16" s="2" customFormat="1" ht="14.25">
      <c r="A68" s="48">
        <v>44</v>
      </c>
      <c r="B68" s="357"/>
      <c r="C68" s="55" t="s">
        <v>201</v>
      </c>
      <c r="D68" s="50" t="s">
        <v>190</v>
      </c>
      <c r="E68" s="50">
        <f>N13</f>
        <v>1501</v>
      </c>
      <c r="F68" s="377"/>
      <c r="G68" s="52">
        <f t="shared" si="2"/>
        <v>0</v>
      </c>
      <c r="H68" s="7"/>
      <c r="I68" s="29"/>
      <c r="J68" s="29"/>
      <c r="K68" s="29"/>
      <c r="L68" s="29"/>
      <c r="M68" s="29"/>
      <c r="N68" s="30"/>
      <c r="O68" s="29"/>
      <c r="P68" s="29"/>
    </row>
    <row r="69" spans="5:7" ht="15">
      <c r="E69" s="57"/>
      <c r="F69" s="58" t="s">
        <v>364</v>
      </c>
      <c r="G69" s="59">
        <f>SUM(G13:G68)</f>
        <v>0</v>
      </c>
    </row>
    <row r="70" spans="5:7" ht="15">
      <c r="E70" s="484" t="s">
        <v>206</v>
      </c>
      <c r="F70" s="484"/>
      <c r="G70" s="59">
        <f>G69*0.2</f>
        <v>0</v>
      </c>
    </row>
    <row r="71" spans="3:7" ht="15" customHeight="1">
      <c r="C71" s="26"/>
      <c r="E71" s="57"/>
      <c r="F71" s="60" t="s">
        <v>365</v>
      </c>
      <c r="G71" s="59">
        <f>SUM(G69:G70)</f>
        <v>0</v>
      </c>
    </row>
    <row r="72" spans="3:5" ht="14.25">
      <c r="C72" s="61"/>
      <c r="D72" s="62"/>
      <c r="E72" s="62"/>
    </row>
    <row r="73" spans="2:16" ht="18.75">
      <c r="B73" s="63" t="s">
        <v>370</v>
      </c>
      <c r="C73" s="64" t="s">
        <v>371</v>
      </c>
      <c r="D73" s="62"/>
      <c r="E73" s="62"/>
      <c r="H73" s="28"/>
      <c r="I73" s="28"/>
      <c r="J73" s="28"/>
      <c r="K73" s="28"/>
      <c r="L73" s="28"/>
      <c r="M73" s="28"/>
      <c r="N73" s="28"/>
      <c r="O73" s="28"/>
      <c r="P73" s="28"/>
    </row>
    <row r="74" spans="8:16" ht="14.25">
      <c r="H74" s="28"/>
      <c r="I74" s="28"/>
      <c r="J74" s="28"/>
      <c r="K74" s="28"/>
      <c r="L74" s="28"/>
      <c r="M74" s="28"/>
      <c r="N74" s="28"/>
      <c r="O74" s="28"/>
      <c r="P74" s="28"/>
    </row>
    <row r="75" spans="8:16" ht="15" customHeight="1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4.25">
      <c r="H76" s="28"/>
      <c r="I76" s="28"/>
      <c r="J76" s="28"/>
      <c r="K76" s="28"/>
      <c r="L76" s="28"/>
      <c r="M76" s="28"/>
      <c r="N76" s="28"/>
      <c r="O76" s="28"/>
      <c r="P76" s="28"/>
    </row>
    <row r="77" spans="1:6" s="67" customFormat="1" ht="15">
      <c r="A77" s="65" t="s">
        <v>373</v>
      </c>
      <c r="B77" s="2"/>
      <c r="C77" s="65"/>
      <c r="D77" s="66" t="s">
        <v>374</v>
      </c>
      <c r="E77" s="24"/>
      <c r="F77" s="426"/>
    </row>
    <row r="78" spans="1:6" s="67" customFormat="1" ht="12.75">
      <c r="A78" s="11"/>
      <c r="B78" s="2"/>
      <c r="C78" s="11"/>
      <c r="D78" s="2"/>
      <c r="E78" s="24"/>
      <c r="F78" s="426"/>
    </row>
    <row r="79" spans="1:6" s="67" customFormat="1" ht="14.25">
      <c r="A79" s="11"/>
      <c r="B79" s="2"/>
      <c r="C79" s="68"/>
      <c r="D79" s="69" t="s">
        <v>375</v>
      </c>
      <c r="E79" s="24"/>
      <c r="F79" s="426"/>
    </row>
    <row r="80" spans="1:6" s="67" customFormat="1" ht="12.75">
      <c r="A80" s="11"/>
      <c r="B80" s="2"/>
      <c r="C80" s="11"/>
      <c r="D80" s="2"/>
      <c r="E80" s="70" t="s">
        <v>376</v>
      </c>
      <c r="F80" s="426"/>
    </row>
    <row r="81" spans="1:6" s="67" customFormat="1" ht="14.25">
      <c r="A81" s="11"/>
      <c r="B81" s="2"/>
      <c r="C81" s="68"/>
      <c r="D81" s="69" t="s">
        <v>377</v>
      </c>
      <c r="E81" s="24"/>
      <c r="F81" s="426"/>
    </row>
    <row r="82" spans="1:6" s="67" customFormat="1" ht="12.75">
      <c r="A82" s="11"/>
      <c r="B82" s="2"/>
      <c r="C82" s="11"/>
      <c r="D82" s="71" t="s">
        <v>378</v>
      </c>
      <c r="E82" s="24"/>
      <c r="F82" s="426"/>
    </row>
  </sheetData>
  <sheetProtection sheet="1" formatCells="0" formatColumns="0" formatRows="0" insertColumns="0" insertRows="0" insertHyperlinks="0" deleteColumns="0" deleteRows="0"/>
  <protectedRanges>
    <protectedRange password="CF7A" sqref="A73:E82" name="Range1"/>
    <protectedRange password="CF7A" sqref="A9:A12 C9:E12 B9:B10 B12" name="Range1_2"/>
    <protectedRange password="CF7A" sqref="F70 E69:E71" name="Range1_1"/>
    <protectedRange password="CF7A" sqref="A6:E7" name="Range1_3"/>
  </protectedRanges>
  <mergeCells count="21">
    <mergeCell ref="B10:B11"/>
    <mergeCell ref="A6:E7"/>
    <mergeCell ref="D10:D11"/>
    <mergeCell ref="A8:G8"/>
    <mergeCell ref="E70:F70"/>
    <mergeCell ref="A32:A35"/>
    <mergeCell ref="A24:A27"/>
    <mergeCell ref="A28:A31"/>
    <mergeCell ref="A10:A11"/>
    <mergeCell ref="G10:G11"/>
    <mergeCell ref="A20:A23"/>
    <mergeCell ref="A9:E9"/>
    <mergeCell ref="C10:C11"/>
    <mergeCell ref="C1:G1"/>
    <mergeCell ref="C3:G3"/>
    <mergeCell ref="A4:B4"/>
    <mergeCell ref="C4:G4"/>
    <mergeCell ref="F10:F11"/>
    <mergeCell ref="E10:E11"/>
    <mergeCell ref="C5:G5"/>
    <mergeCell ref="F6:F7"/>
  </mergeCells>
  <printOptions horizontalCentered="1"/>
  <pageMargins left="0.5905511811023623" right="0.1968503937007874" top="0.4330708661417323" bottom="0.5118110236220472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72"/>
  <sheetViews>
    <sheetView zoomScalePageLayoutView="0" workbookViewId="0" topLeftCell="A1">
      <selection activeCell="C5" sqref="C5:G5"/>
    </sheetView>
  </sheetViews>
  <sheetFormatPr defaultColWidth="9.140625" defaultRowHeight="12.75"/>
  <cols>
    <col min="1" max="1" width="7.28125" style="29" customWidth="1"/>
    <col min="2" max="2" width="19.140625" style="29" customWidth="1"/>
    <col min="3" max="3" width="60.851562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8.7109375" style="29" customWidth="1"/>
    <col min="9" max="13" width="9.140625" style="29" customWidth="1"/>
    <col min="14" max="14" width="11.140625" style="29" bestFit="1" customWidth="1"/>
    <col min="15" max="15" width="9.57421875" style="29" customWidth="1"/>
    <col min="16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568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5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6" s="30" customFormat="1" ht="21.75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2" t="s">
        <v>305</v>
      </c>
      <c r="L8" s="13"/>
      <c r="M8" s="48" t="s">
        <v>350</v>
      </c>
      <c r="N8" s="48">
        <v>72</v>
      </c>
      <c r="O8" s="48" t="s">
        <v>286</v>
      </c>
      <c r="P8" s="48"/>
    </row>
    <row r="9" spans="1:16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674.58</v>
      </c>
      <c r="J9" s="73">
        <v>166.7</v>
      </c>
      <c r="K9" s="73"/>
      <c r="L9" s="47"/>
      <c r="M9" s="74" t="s">
        <v>210</v>
      </c>
      <c r="N9" s="74">
        <v>1.2</v>
      </c>
      <c r="O9" s="48" t="s">
        <v>287</v>
      </c>
      <c r="P9" s="48"/>
    </row>
    <row r="10" spans="1:16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150.53</v>
      </c>
      <c r="J10" s="48">
        <v>33.35</v>
      </c>
      <c r="K10" s="48"/>
      <c r="L10" s="47"/>
      <c r="M10" s="48" t="s">
        <v>351</v>
      </c>
      <c r="N10" s="48">
        <v>6</v>
      </c>
      <c r="O10" s="48" t="s">
        <v>288</v>
      </c>
      <c r="P10" s="48"/>
    </row>
    <row r="11" spans="1:19" ht="15" thickBot="1">
      <c r="A11" s="494"/>
      <c r="B11" s="490"/>
      <c r="C11" s="490"/>
      <c r="D11" s="489"/>
      <c r="E11" s="489"/>
      <c r="F11" s="490"/>
      <c r="G11" s="490"/>
      <c r="H11" s="14"/>
      <c r="I11" s="48">
        <v>716.72</v>
      </c>
      <c r="J11" s="48">
        <v>332.8</v>
      </c>
      <c r="K11" s="48"/>
      <c r="L11" s="47"/>
      <c r="M11" s="48" t="s">
        <v>213</v>
      </c>
      <c r="N11" s="48">
        <v>1053</v>
      </c>
      <c r="O11" s="74" t="s">
        <v>252</v>
      </c>
      <c r="P11" s="74"/>
      <c r="Q11" s="15"/>
      <c r="R11" s="15"/>
      <c r="S11" s="15"/>
    </row>
    <row r="12" spans="1:16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143.38</v>
      </c>
      <c r="J12" s="48">
        <v>62</v>
      </c>
      <c r="K12" s="48"/>
      <c r="L12" s="47"/>
      <c r="M12" s="48" t="s">
        <v>209</v>
      </c>
      <c r="N12" s="5">
        <v>1.95</v>
      </c>
      <c r="O12" s="48" t="s">
        <v>284</v>
      </c>
      <c r="P12" s="48"/>
    </row>
    <row r="13" spans="1:16" ht="14.25">
      <c r="A13" s="48">
        <v>1</v>
      </c>
      <c r="B13" s="357"/>
      <c r="C13" s="53" t="s">
        <v>258</v>
      </c>
      <c r="D13" s="48" t="s">
        <v>190</v>
      </c>
      <c r="E13" s="51">
        <f>N11*2</f>
        <v>2106</v>
      </c>
      <c r="F13" s="377"/>
      <c r="G13" s="52">
        <f aca="true" t="shared" si="0" ref="G13:G19">E13*F13</f>
        <v>0</v>
      </c>
      <c r="H13" s="7"/>
      <c r="I13" s="48"/>
      <c r="J13" s="48">
        <v>535.54</v>
      </c>
      <c r="K13" s="48"/>
      <c r="L13" s="47"/>
      <c r="M13" s="48" t="s">
        <v>208</v>
      </c>
      <c r="N13" s="48">
        <f>N9*2*N10*N8</f>
        <v>1036.8</v>
      </c>
      <c r="O13" s="48" t="s">
        <v>253</v>
      </c>
      <c r="P13" s="48"/>
    </row>
    <row r="14" spans="1:16" ht="14.25">
      <c r="A14" s="48">
        <v>2</v>
      </c>
      <c r="B14" s="357"/>
      <c r="C14" s="53" t="s">
        <v>37</v>
      </c>
      <c r="D14" s="48" t="s">
        <v>190</v>
      </c>
      <c r="E14" s="51">
        <f>N8*4.5*2+P8*7*2</f>
        <v>648</v>
      </c>
      <c r="F14" s="377"/>
      <c r="G14" s="52">
        <f t="shared" si="0"/>
        <v>0</v>
      </c>
      <c r="H14" s="7"/>
      <c r="I14" s="48"/>
      <c r="J14" s="48">
        <v>101.48</v>
      </c>
      <c r="K14" s="48"/>
      <c r="L14" s="75"/>
      <c r="M14" s="48" t="s">
        <v>212</v>
      </c>
      <c r="N14" s="48">
        <v>20</v>
      </c>
      <c r="O14" s="48" t="s">
        <v>209</v>
      </c>
      <c r="P14" s="48"/>
    </row>
    <row r="15" spans="1:16" ht="28.5">
      <c r="A15" s="48">
        <v>3</v>
      </c>
      <c r="B15" s="357"/>
      <c r="C15" s="53" t="s">
        <v>260</v>
      </c>
      <c r="D15" s="48" t="s">
        <v>386</v>
      </c>
      <c r="E15" s="51">
        <f>N11*N12</f>
        <v>2053.35</v>
      </c>
      <c r="F15" s="377"/>
      <c r="G15" s="52">
        <f t="shared" si="0"/>
        <v>0</v>
      </c>
      <c r="H15" s="7"/>
      <c r="I15" s="48"/>
      <c r="J15" s="48">
        <v>537.6</v>
      </c>
      <c r="K15" s="48"/>
      <c r="L15" s="75"/>
      <c r="M15" s="76"/>
      <c r="N15" s="76"/>
      <c r="O15" s="48" t="s">
        <v>216</v>
      </c>
      <c r="P15" s="48"/>
    </row>
    <row r="16" spans="1:14" ht="28.5">
      <c r="A16" s="48">
        <v>4</v>
      </c>
      <c r="B16" s="357"/>
      <c r="C16" s="53" t="s">
        <v>38</v>
      </c>
      <c r="D16" s="48" t="s">
        <v>386</v>
      </c>
      <c r="E16" s="51">
        <f>N9*4.5*N8+P11*7*P8</f>
        <v>388.79999999999995</v>
      </c>
      <c r="F16" s="377"/>
      <c r="G16" s="52">
        <f t="shared" si="0"/>
        <v>0</v>
      </c>
      <c r="H16" s="7"/>
      <c r="I16" s="48"/>
      <c r="J16" s="48">
        <v>105.6</v>
      </c>
      <c r="K16" s="48"/>
      <c r="L16" s="75"/>
      <c r="M16" s="34"/>
      <c r="N16" s="34"/>
    </row>
    <row r="17" spans="1:14" ht="14.25">
      <c r="A17" s="48">
        <v>5</v>
      </c>
      <c r="B17" s="357"/>
      <c r="C17" s="53" t="s">
        <v>39</v>
      </c>
      <c r="D17" s="48" t="s">
        <v>190</v>
      </c>
      <c r="E17" s="51">
        <f>N8*1+P10*1</f>
        <v>72</v>
      </c>
      <c r="F17" s="377"/>
      <c r="G17" s="52">
        <f t="shared" si="0"/>
        <v>0</v>
      </c>
      <c r="H17" s="7"/>
      <c r="I17" s="48"/>
      <c r="J17" s="48">
        <v>808.19</v>
      </c>
      <c r="K17" s="48"/>
      <c r="L17" s="75"/>
      <c r="M17" s="34"/>
      <c r="N17" s="34"/>
    </row>
    <row r="18" spans="1:14" ht="16.5">
      <c r="A18" s="48">
        <v>6</v>
      </c>
      <c r="B18" s="357"/>
      <c r="C18" s="53" t="s">
        <v>40</v>
      </c>
      <c r="D18" s="48" t="s">
        <v>386</v>
      </c>
      <c r="E18" s="51">
        <f>N8*2+P10*2</f>
        <v>144</v>
      </c>
      <c r="F18" s="377"/>
      <c r="G18" s="52">
        <f t="shared" si="0"/>
        <v>0</v>
      </c>
      <c r="H18" s="7"/>
      <c r="I18" s="48"/>
      <c r="J18" s="48">
        <v>142.45</v>
      </c>
      <c r="K18" s="48"/>
      <c r="L18" s="75"/>
      <c r="M18" s="34"/>
      <c r="N18" s="34"/>
    </row>
    <row r="19" spans="1:14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258.61499999999995</v>
      </c>
      <c r="F19" s="377"/>
      <c r="G19" s="52">
        <f t="shared" si="0"/>
        <v>0</v>
      </c>
      <c r="H19" s="7"/>
      <c r="I19" s="48"/>
      <c r="J19" s="48">
        <v>838.45</v>
      </c>
      <c r="K19" s="48"/>
      <c r="L19" s="75"/>
      <c r="M19" s="34"/>
      <c r="N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>
        <v>128.58</v>
      </c>
      <c r="K20" s="48"/>
      <c r="L20" s="75"/>
      <c r="M20" s="34"/>
    </row>
    <row r="21" spans="1:13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1179.647</v>
      </c>
      <c r="F21" s="377"/>
      <c r="G21" s="52">
        <f>E21*F21</f>
        <v>0</v>
      </c>
      <c r="H21" s="7"/>
      <c r="I21" s="48"/>
      <c r="J21" s="48"/>
      <c r="K21" s="48"/>
      <c r="L21" s="75"/>
      <c r="M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84.26050000000001</v>
      </c>
      <c r="F22" s="377"/>
      <c r="G22" s="52">
        <f>E22*F22</f>
        <v>0</v>
      </c>
      <c r="H22" s="7"/>
      <c r="I22" s="76">
        <f>SUM(I9:I21)</f>
        <v>1685.21</v>
      </c>
      <c r="J22" s="76">
        <f>SUM(J9:J21)</f>
        <v>3792.74</v>
      </c>
      <c r="K22" s="76">
        <f>SUM(K9:K21)</f>
        <v>0</v>
      </c>
      <c r="L22" s="48">
        <f>SUM(I22:K22)</f>
        <v>5477.95</v>
      </c>
    </row>
    <row r="23" spans="1:12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421.3025</v>
      </c>
      <c r="F23" s="377"/>
      <c r="G23" s="52">
        <f>E23*F23</f>
        <v>0</v>
      </c>
      <c r="H23" s="7"/>
      <c r="I23" s="34"/>
      <c r="J23" s="34"/>
      <c r="K23" s="34"/>
      <c r="L23" s="34"/>
    </row>
    <row r="24" spans="1:12" ht="15" customHeight="1">
      <c r="A24" s="496">
        <v>9</v>
      </c>
      <c r="B24" s="48"/>
      <c r="C24" s="53" t="s">
        <v>202</v>
      </c>
      <c r="D24" s="48"/>
      <c r="E24" s="48"/>
      <c r="F24" s="52"/>
      <c r="G24" s="52"/>
      <c r="H24" s="7"/>
      <c r="I24" s="34"/>
      <c r="J24" s="34"/>
      <c r="K24" s="34"/>
      <c r="L24" s="34"/>
    </row>
    <row r="25" spans="1:12" ht="15" customHeight="1">
      <c r="A25" s="497">
        <f>A24+1</f>
        <v>10</v>
      </c>
      <c r="B25" s="357"/>
      <c r="C25" s="49" t="s">
        <v>264</v>
      </c>
      <c r="D25" s="50" t="s">
        <v>385</v>
      </c>
      <c r="E25" s="51">
        <f>0.7*J22</f>
        <v>2654.9179999999997</v>
      </c>
      <c r="F25" s="377"/>
      <c r="G25" s="52">
        <f>E25*F25</f>
        <v>0</v>
      </c>
      <c r="H25" s="7"/>
      <c r="J25" s="48" t="s">
        <v>315</v>
      </c>
      <c r="K25" s="34"/>
      <c r="L25" s="34"/>
    </row>
    <row r="26" spans="1:12" ht="16.5">
      <c r="A26" s="497">
        <f>A25+1</f>
        <v>11</v>
      </c>
      <c r="B26" s="357"/>
      <c r="C26" s="53" t="s">
        <v>263</v>
      </c>
      <c r="D26" s="50" t="s">
        <v>385</v>
      </c>
      <c r="E26" s="51">
        <f>0.05*J22</f>
        <v>189.637</v>
      </c>
      <c r="F26" s="377"/>
      <c r="G26" s="52">
        <f>E26*F26</f>
        <v>0</v>
      </c>
      <c r="H26" s="7"/>
      <c r="J26" s="48"/>
      <c r="K26" s="34"/>
      <c r="L26" s="34"/>
    </row>
    <row r="27" spans="1:12" ht="16.5">
      <c r="A27" s="498">
        <f>A26+1</f>
        <v>12</v>
      </c>
      <c r="B27" s="357"/>
      <c r="C27" s="49" t="s">
        <v>265</v>
      </c>
      <c r="D27" s="50" t="s">
        <v>385</v>
      </c>
      <c r="E27" s="51">
        <f>0.25*J22</f>
        <v>948.185</v>
      </c>
      <c r="F27" s="377"/>
      <c r="G27" s="52">
        <f>E27*F27</f>
        <v>0</v>
      </c>
      <c r="H27" s="7"/>
      <c r="I27" s="34"/>
      <c r="J27" s="34"/>
      <c r="K27" s="34"/>
      <c r="L27" s="34"/>
    </row>
    <row r="28" spans="1:12" ht="15" customHeight="1">
      <c r="A28" s="496">
        <v>10</v>
      </c>
      <c r="B28" s="48"/>
      <c r="C28" s="53" t="s">
        <v>244</v>
      </c>
      <c r="D28" s="96"/>
      <c r="E28" s="96"/>
      <c r="F28" s="52"/>
      <c r="G28" s="97"/>
      <c r="H28" s="7"/>
      <c r="I28" s="34"/>
      <c r="J28" s="34"/>
      <c r="K28" s="34"/>
      <c r="L28" s="34"/>
    </row>
    <row r="29" spans="1:12" ht="15" customHeight="1">
      <c r="A29" s="497"/>
      <c r="B29" s="357"/>
      <c r="C29" s="49" t="s">
        <v>199</v>
      </c>
      <c r="D29" s="50" t="s">
        <v>385</v>
      </c>
      <c r="E29" s="51">
        <f>0.6*N13</f>
        <v>622.0799999999999</v>
      </c>
      <c r="F29" s="377"/>
      <c r="G29" s="52">
        <f aca="true" t="shared" si="1" ref="G29:G51">E29*F29</f>
        <v>0</v>
      </c>
      <c r="H29" s="7"/>
      <c r="I29" s="34"/>
      <c r="J29" s="34"/>
      <c r="K29" s="34"/>
      <c r="L29" s="34"/>
    </row>
    <row r="30" spans="1:12" ht="16.5">
      <c r="A30" s="497"/>
      <c r="B30" s="357"/>
      <c r="C30" s="53" t="s">
        <v>266</v>
      </c>
      <c r="D30" s="50" t="s">
        <v>385</v>
      </c>
      <c r="E30" s="51">
        <f>0.05*N13</f>
        <v>51.84</v>
      </c>
      <c r="F30" s="377"/>
      <c r="G30" s="52">
        <f t="shared" si="1"/>
        <v>0</v>
      </c>
      <c r="H30" s="7"/>
      <c r="I30" s="34"/>
      <c r="J30" s="34"/>
      <c r="K30" s="34"/>
      <c r="L30" s="34"/>
    </row>
    <row r="31" spans="1:12" ht="16.5" customHeight="1">
      <c r="A31" s="498"/>
      <c r="B31" s="357"/>
      <c r="C31" s="49" t="s">
        <v>267</v>
      </c>
      <c r="D31" s="50" t="s">
        <v>385</v>
      </c>
      <c r="E31" s="51">
        <f>0.35*N13</f>
        <v>362.87999999999994</v>
      </c>
      <c r="F31" s="377"/>
      <c r="G31" s="52">
        <f t="shared" si="1"/>
        <v>0</v>
      </c>
      <c r="H31" s="7"/>
      <c r="I31" s="34"/>
      <c r="J31" s="34"/>
      <c r="K31" s="34"/>
      <c r="L31" s="34"/>
    </row>
    <row r="32" spans="1:12" ht="28.5">
      <c r="A32" s="48">
        <v>11</v>
      </c>
      <c r="B32" s="357"/>
      <c r="C32" s="80" t="s">
        <v>196</v>
      </c>
      <c r="D32" s="50" t="s">
        <v>385</v>
      </c>
      <c r="E32" s="51">
        <f>E23+E27+E31</f>
        <v>1732.3674999999998</v>
      </c>
      <c r="F32" s="377"/>
      <c r="G32" s="52">
        <f t="shared" si="1"/>
        <v>0</v>
      </c>
      <c r="H32" s="7"/>
      <c r="I32" s="34"/>
      <c r="J32" s="34"/>
      <c r="K32" s="34"/>
      <c r="L32" s="34"/>
    </row>
    <row r="33" spans="1:12" ht="16.5">
      <c r="A33" s="48">
        <v>12</v>
      </c>
      <c r="B33" s="357"/>
      <c r="C33" s="55" t="s">
        <v>197</v>
      </c>
      <c r="D33" s="50" t="s">
        <v>385</v>
      </c>
      <c r="E33" s="81">
        <f>E32</f>
        <v>1732.3674999999998</v>
      </c>
      <c r="F33" s="377"/>
      <c r="G33" s="52">
        <f t="shared" si="1"/>
        <v>0</v>
      </c>
      <c r="H33" s="7"/>
      <c r="I33" s="34"/>
      <c r="J33" s="34"/>
      <c r="K33" s="34"/>
      <c r="L33" s="34"/>
    </row>
    <row r="34" spans="1:12" ht="16.5">
      <c r="A34" s="48">
        <v>13</v>
      </c>
      <c r="B34" s="357"/>
      <c r="C34" s="80" t="s">
        <v>72</v>
      </c>
      <c r="D34" s="50" t="s">
        <v>385</v>
      </c>
      <c r="E34" s="51">
        <f>L22+N13</f>
        <v>6514.75</v>
      </c>
      <c r="F34" s="377"/>
      <c r="G34" s="52">
        <f t="shared" si="1"/>
        <v>0</v>
      </c>
      <c r="H34" s="7"/>
      <c r="I34" s="34"/>
      <c r="J34" s="34"/>
      <c r="K34" s="34"/>
      <c r="L34" s="34"/>
    </row>
    <row r="35" spans="1:14" ht="16.5">
      <c r="A35" s="48">
        <v>14</v>
      </c>
      <c r="B35" s="357"/>
      <c r="C35" s="49" t="s">
        <v>387</v>
      </c>
      <c r="D35" s="48" t="s">
        <v>386</v>
      </c>
      <c r="E35" s="48">
        <f>N11*4</f>
        <v>4212</v>
      </c>
      <c r="F35" s="377"/>
      <c r="G35" s="52">
        <f t="shared" si="1"/>
        <v>0</v>
      </c>
      <c r="H35" s="7"/>
      <c r="I35" s="34"/>
      <c r="J35" s="34"/>
      <c r="K35" s="34"/>
      <c r="L35" s="51"/>
      <c r="N35" s="30"/>
    </row>
    <row r="36" spans="1:16" s="30" customFormat="1" ht="15" customHeight="1">
      <c r="A36" s="48">
        <v>15</v>
      </c>
      <c r="B36" s="357"/>
      <c r="C36" s="80" t="s">
        <v>42</v>
      </c>
      <c r="D36" s="50" t="s">
        <v>385</v>
      </c>
      <c r="E36" s="51">
        <f>0.1*1.1*E38+0.1*1.2*E39+0.1*1.3*E40+0.1*1.4*E41+0.1*1.6*E42</f>
        <v>148.86</v>
      </c>
      <c r="F36" s="377"/>
      <c r="G36" s="52">
        <f t="shared" si="1"/>
        <v>0</v>
      </c>
      <c r="H36" s="7"/>
      <c r="I36" s="29"/>
      <c r="J36" s="29"/>
      <c r="K36" s="29"/>
      <c r="L36" s="29"/>
      <c r="M36" s="29"/>
      <c r="N36" s="29"/>
      <c r="O36" s="29"/>
      <c r="P36" s="29"/>
    </row>
    <row r="37" spans="1:8" ht="57">
      <c r="A37" s="48">
        <v>16</v>
      </c>
      <c r="B37" s="357"/>
      <c r="C37" s="53" t="s">
        <v>296</v>
      </c>
      <c r="D37" s="48" t="s">
        <v>385</v>
      </c>
      <c r="E37" s="51">
        <f>E34-E36-E55-E56-16.1-5.78-15.7-56.24-251.2</f>
        <v>5220.1</v>
      </c>
      <c r="F37" s="377"/>
      <c r="G37" s="52">
        <f t="shared" si="1"/>
        <v>0</v>
      </c>
      <c r="H37" s="7"/>
    </row>
    <row r="38" spans="1:14" ht="14.25">
      <c r="A38" s="48">
        <v>17</v>
      </c>
      <c r="B38" s="357"/>
      <c r="C38" s="53" t="s">
        <v>291</v>
      </c>
      <c r="D38" s="48" t="s">
        <v>190</v>
      </c>
      <c r="E38" s="48">
        <v>228</v>
      </c>
      <c r="F38" s="377"/>
      <c r="G38" s="52">
        <f t="shared" si="1"/>
        <v>0</v>
      </c>
      <c r="H38" s="4"/>
      <c r="N38" s="34"/>
    </row>
    <row r="39" spans="1:14" ht="14.25">
      <c r="A39" s="48">
        <v>18</v>
      </c>
      <c r="B39" s="357"/>
      <c r="C39" s="53" t="s">
        <v>271</v>
      </c>
      <c r="D39" s="48" t="s">
        <v>190</v>
      </c>
      <c r="E39" s="48">
        <v>46</v>
      </c>
      <c r="F39" s="377"/>
      <c r="G39" s="52">
        <f t="shared" si="1"/>
        <v>0</v>
      </c>
      <c r="H39" s="7"/>
      <c r="N39" s="34"/>
    </row>
    <row r="40" spans="1:14" ht="14.25">
      <c r="A40" s="48">
        <v>19</v>
      </c>
      <c r="B40" s="357"/>
      <c r="C40" s="53" t="s">
        <v>272</v>
      </c>
      <c r="D40" s="48" t="s">
        <v>190</v>
      </c>
      <c r="E40" s="48">
        <v>80</v>
      </c>
      <c r="F40" s="377"/>
      <c r="G40" s="52">
        <f t="shared" si="1"/>
        <v>0</v>
      </c>
      <c r="H40" s="7"/>
      <c r="N40" s="34"/>
    </row>
    <row r="41" spans="1:14" ht="14.25">
      <c r="A41" s="48">
        <v>20</v>
      </c>
      <c r="B41" s="357"/>
      <c r="C41" s="53" t="s">
        <v>273</v>
      </c>
      <c r="D41" s="48" t="s">
        <v>190</v>
      </c>
      <c r="E41" s="48">
        <v>199</v>
      </c>
      <c r="F41" s="377"/>
      <c r="G41" s="52">
        <f t="shared" si="1"/>
        <v>0</v>
      </c>
      <c r="H41" s="7"/>
      <c r="N41" s="34"/>
    </row>
    <row r="42" spans="1:14" ht="14.25">
      <c r="A42" s="48">
        <v>21</v>
      </c>
      <c r="B42" s="357"/>
      <c r="C42" s="53" t="s">
        <v>307</v>
      </c>
      <c r="D42" s="48" t="s">
        <v>190</v>
      </c>
      <c r="E42" s="48">
        <v>500</v>
      </c>
      <c r="F42" s="377"/>
      <c r="G42" s="52">
        <f t="shared" si="1"/>
        <v>0</v>
      </c>
      <c r="H42" s="7"/>
      <c r="N42" s="34"/>
    </row>
    <row r="43" spans="1:14" ht="28.5">
      <c r="A43" s="48">
        <v>22</v>
      </c>
      <c r="B43" s="357"/>
      <c r="C43" s="53" t="s">
        <v>309</v>
      </c>
      <c r="D43" s="48" t="s">
        <v>191</v>
      </c>
      <c r="E43" s="48">
        <v>5</v>
      </c>
      <c r="F43" s="377"/>
      <c r="G43" s="52">
        <f t="shared" si="1"/>
        <v>0</v>
      </c>
      <c r="H43" s="7"/>
      <c r="N43" s="34"/>
    </row>
    <row r="44" spans="1:14" ht="28.5">
      <c r="A44" s="48">
        <v>23</v>
      </c>
      <c r="B44" s="357"/>
      <c r="C44" s="53" t="s">
        <v>313</v>
      </c>
      <c r="D44" s="48" t="s">
        <v>191</v>
      </c>
      <c r="E44" s="48">
        <v>6</v>
      </c>
      <c r="F44" s="377"/>
      <c r="G44" s="52">
        <f>E44*F44</f>
        <v>0</v>
      </c>
      <c r="H44" s="7"/>
      <c r="N44" s="34"/>
    </row>
    <row r="45" spans="1:8" ht="28.5">
      <c r="A45" s="48">
        <v>24</v>
      </c>
      <c r="B45" s="357"/>
      <c r="C45" s="53" t="s">
        <v>352</v>
      </c>
      <c r="D45" s="48" t="s">
        <v>191</v>
      </c>
      <c r="E45" s="48">
        <v>2</v>
      </c>
      <c r="F45" s="377"/>
      <c r="G45" s="52">
        <f>E45*F45</f>
        <v>0</v>
      </c>
      <c r="H45" s="7"/>
    </row>
    <row r="46" spans="1:14" ht="28.5">
      <c r="A46" s="48">
        <v>25</v>
      </c>
      <c r="B46" s="357"/>
      <c r="C46" s="53" t="s">
        <v>310</v>
      </c>
      <c r="D46" s="48" t="s">
        <v>191</v>
      </c>
      <c r="E46" s="48">
        <v>7</v>
      </c>
      <c r="F46" s="377"/>
      <c r="G46" s="52">
        <f t="shared" si="1"/>
        <v>0</v>
      </c>
      <c r="H46" s="7"/>
      <c r="N46" s="34"/>
    </row>
    <row r="47" spans="1:14" ht="14.25">
      <c r="A47" s="48">
        <v>26</v>
      </c>
      <c r="B47" s="357"/>
      <c r="C47" s="53" t="s">
        <v>200</v>
      </c>
      <c r="D47" s="48" t="s">
        <v>191</v>
      </c>
      <c r="E47" s="48">
        <f>N8</f>
        <v>72</v>
      </c>
      <c r="F47" s="377"/>
      <c r="G47" s="52">
        <f t="shared" si="1"/>
        <v>0</v>
      </c>
      <c r="H47" s="7"/>
      <c r="N47" s="34"/>
    </row>
    <row r="48" spans="1:15" ht="30" customHeight="1">
      <c r="A48" s="48">
        <v>27</v>
      </c>
      <c r="B48" s="357"/>
      <c r="C48" s="53" t="s">
        <v>233</v>
      </c>
      <c r="D48" s="48" t="s">
        <v>191</v>
      </c>
      <c r="E48" s="51">
        <v>30</v>
      </c>
      <c r="F48" s="377"/>
      <c r="G48" s="52">
        <f t="shared" si="1"/>
        <v>0</v>
      </c>
      <c r="H48" s="7"/>
      <c r="O48" s="34"/>
    </row>
    <row r="49" spans="1:14" ht="14.25">
      <c r="A49" s="48">
        <v>28</v>
      </c>
      <c r="B49" s="357"/>
      <c r="C49" s="49" t="s">
        <v>192</v>
      </c>
      <c r="D49" s="48" t="s">
        <v>193</v>
      </c>
      <c r="E49" s="51">
        <f>40*N11/2000</f>
        <v>21.06</v>
      </c>
      <c r="F49" s="377"/>
      <c r="G49" s="52">
        <f t="shared" si="1"/>
        <v>0</v>
      </c>
      <c r="H49" s="34"/>
      <c r="I49" s="34"/>
      <c r="M49" s="30"/>
      <c r="N49" s="30"/>
    </row>
    <row r="50" spans="1:16" ht="14.25">
      <c r="A50" s="48">
        <v>29</v>
      </c>
      <c r="B50" s="357"/>
      <c r="C50" s="95" t="s">
        <v>282</v>
      </c>
      <c r="D50" s="48" t="s">
        <v>190</v>
      </c>
      <c r="E50" s="51">
        <f>E17</f>
        <v>72</v>
      </c>
      <c r="F50" s="377"/>
      <c r="G50" s="52">
        <f t="shared" si="1"/>
        <v>0</v>
      </c>
      <c r="H50" s="7"/>
      <c r="O50" s="30"/>
      <c r="P50" s="30"/>
    </row>
    <row r="51" spans="1:16" ht="16.5">
      <c r="A51" s="48">
        <v>30</v>
      </c>
      <c r="B51" s="357"/>
      <c r="C51" s="95" t="s">
        <v>283</v>
      </c>
      <c r="D51" s="48" t="s">
        <v>386</v>
      </c>
      <c r="E51" s="51">
        <f>E18</f>
        <v>144</v>
      </c>
      <c r="F51" s="377"/>
      <c r="G51" s="52">
        <f t="shared" si="1"/>
        <v>0</v>
      </c>
      <c r="H51" s="7"/>
      <c r="O51" s="30"/>
      <c r="P51" s="30"/>
    </row>
    <row r="52" spans="1:14" ht="28.5">
      <c r="A52" s="48">
        <v>31</v>
      </c>
      <c r="B52" s="357"/>
      <c r="C52" s="77" t="s">
        <v>293</v>
      </c>
      <c r="D52" s="48" t="s">
        <v>195</v>
      </c>
      <c r="E52" s="82">
        <f>(E15+E16)*96/1000</f>
        <v>234.44639999999995</v>
      </c>
      <c r="F52" s="377"/>
      <c r="G52" s="52">
        <f aca="true" t="shared" si="2" ref="G52:G58">E52*F52</f>
        <v>0</v>
      </c>
      <c r="H52" s="7"/>
      <c r="N52" s="3"/>
    </row>
    <row r="53" spans="1:16" s="2" customFormat="1" ht="28.5">
      <c r="A53" s="48">
        <v>32</v>
      </c>
      <c r="B53" s="357"/>
      <c r="C53" s="77" t="s">
        <v>294</v>
      </c>
      <c r="D53" s="48" t="s">
        <v>195</v>
      </c>
      <c r="E53" s="51">
        <v>70.76</v>
      </c>
      <c r="F53" s="377"/>
      <c r="G53" s="52">
        <f t="shared" si="2"/>
        <v>0</v>
      </c>
      <c r="H53" s="7"/>
      <c r="I53" s="29"/>
      <c r="J53" s="29"/>
      <c r="K53" s="29"/>
      <c r="L53" s="29"/>
      <c r="M53" s="29"/>
      <c r="N53" s="30"/>
      <c r="O53" s="29"/>
      <c r="P53" s="29"/>
    </row>
    <row r="54" spans="1:16" s="30" customFormat="1" ht="28.5">
      <c r="A54" s="48">
        <v>33</v>
      </c>
      <c r="B54" s="357"/>
      <c r="C54" s="53" t="s">
        <v>295</v>
      </c>
      <c r="D54" s="83" t="s">
        <v>195</v>
      </c>
      <c r="E54" s="51">
        <f>(E15+E16)*0.06*2.4</f>
        <v>351.6695999999999</v>
      </c>
      <c r="F54" s="377"/>
      <c r="G54" s="52">
        <f t="shared" si="2"/>
        <v>0</v>
      </c>
      <c r="H54" s="7"/>
      <c r="I54" s="29"/>
      <c r="J54" s="29"/>
      <c r="K54" s="29"/>
      <c r="L54" s="29"/>
      <c r="M54" s="29"/>
      <c r="N54" s="29"/>
      <c r="O54" s="29"/>
      <c r="P54" s="29"/>
    </row>
    <row r="55" spans="1:16" ht="28.5">
      <c r="A55" s="48">
        <v>34</v>
      </c>
      <c r="B55" s="357"/>
      <c r="C55" s="53" t="s">
        <v>298</v>
      </c>
      <c r="D55" s="83" t="s">
        <v>385</v>
      </c>
      <c r="E55" s="85">
        <v>278.39</v>
      </c>
      <c r="F55" s="377"/>
      <c r="G55" s="52">
        <f t="shared" si="2"/>
        <v>0</v>
      </c>
      <c r="H55" s="7"/>
      <c r="N55" s="3"/>
      <c r="O55" s="3"/>
      <c r="P55" s="6"/>
    </row>
    <row r="56" spans="1:16" s="2" customFormat="1" ht="28.5">
      <c r="A56" s="48">
        <v>35</v>
      </c>
      <c r="B56" s="357"/>
      <c r="C56" s="53" t="s">
        <v>21</v>
      </c>
      <c r="D56" s="83" t="s">
        <v>385</v>
      </c>
      <c r="E56" s="85">
        <v>522.38</v>
      </c>
      <c r="F56" s="377"/>
      <c r="G56" s="52">
        <f t="shared" si="2"/>
        <v>0</v>
      </c>
      <c r="H56" s="7"/>
      <c r="I56" s="29"/>
      <c r="J56" s="29"/>
      <c r="K56" s="29"/>
      <c r="L56" s="29"/>
      <c r="M56" s="29"/>
      <c r="N56" s="29"/>
      <c r="O56" s="29"/>
      <c r="P56" s="29"/>
    </row>
    <row r="57" spans="1:8" ht="14.25">
      <c r="A57" s="48">
        <v>36</v>
      </c>
      <c r="B57" s="357"/>
      <c r="C57" s="77" t="s">
        <v>194</v>
      </c>
      <c r="D57" s="74" t="s">
        <v>190</v>
      </c>
      <c r="E57" s="85">
        <f>E13+E14</f>
        <v>2754</v>
      </c>
      <c r="F57" s="377"/>
      <c r="G57" s="52">
        <f t="shared" si="2"/>
        <v>0</v>
      </c>
      <c r="H57" s="7"/>
    </row>
    <row r="58" spans="1:16" s="2" customFormat="1" ht="14.25">
      <c r="A58" s="48">
        <v>37</v>
      </c>
      <c r="B58" s="357"/>
      <c r="C58" s="55" t="s">
        <v>201</v>
      </c>
      <c r="D58" s="50" t="s">
        <v>190</v>
      </c>
      <c r="E58" s="50">
        <f>N11</f>
        <v>1053</v>
      </c>
      <c r="F58" s="377"/>
      <c r="G58" s="52">
        <f t="shared" si="2"/>
        <v>0</v>
      </c>
      <c r="H58" s="7"/>
      <c r="I58" s="29"/>
      <c r="J58" s="29"/>
      <c r="K58" s="29"/>
      <c r="L58" s="29"/>
      <c r="M58" s="29"/>
      <c r="N58" s="30"/>
      <c r="O58" s="29"/>
      <c r="P58" s="29"/>
    </row>
    <row r="59" spans="5:7" ht="15">
      <c r="E59" s="57"/>
      <c r="F59" s="58" t="s">
        <v>364</v>
      </c>
      <c r="G59" s="59">
        <f>SUM(G13:G58)</f>
        <v>0</v>
      </c>
    </row>
    <row r="60" spans="5:7" ht="15">
      <c r="E60" s="484" t="s">
        <v>206</v>
      </c>
      <c r="F60" s="484"/>
      <c r="G60" s="59">
        <f>G59*0.2</f>
        <v>0</v>
      </c>
    </row>
    <row r="61" spans="3:7" ht="15" customHeight="1">
      <c r="C61" s="26"/>
      <c r="E61" s="57"/>
      <c r="F61" s="60" t="s">
        <v>365</v>
      </c>
      <c r="G61" s="59">
        <f>SUM(G59:G60)</f>
        <v>0</v>
      </c>
    </row>
    <row r="62" spans="3:5" ht="14.25">
      <c r="C62" s="61"/>
      <c r="D62" s="62"/>
      <c r="E62" s="62"/>
    </row>
    <row r="63" spans="2:16" ht="18.75">
      <c r="B63" s="63" t="s">
        <v>370</v>
      </c>
      <c r="C63" s="64" t="s">
        <v>371</v>
      </c>
      <c r="D63" s="62"/>
      <c r="E63" s="62"/>
      <c r="H63" s="28"/>
      <c r="I63" s="28"/>
      <c r="J63" s="28"/>
      <c r="K63" s="28"/>
      <c r="L63" s="28"/>
      <c r="M63" s="28"/>
      <c r="N63" s="28"/>
      <c r="O63" s="28"/>
      <c r="P63" s="28"/>
    </row>
    <row r="64" spans="8:16" ht="14.25">
      <c r="H64" s="28"/>
      <c r="I64" s="28"/>
      <c r="J64" s="28"/>
      <c r="K64" s="28"/>
      <c r="L64" s="28"/>
      <c r="M64" s="28"/>
      <c r="N64" s="28"/>
      <c r="O64" s="28"/>
      <c r="P64" s="28"/>
    </row>
    <row r="65" spans="8:16" ht="15" customHeight="1">
      <c r="H65" s="28"/>
      <c r="I65" s="28"/>
      <c r="J65" s="28"/>
      <c r="K65" s="28"/>
      <c r="L65" s="28"/>
      <c r="M65" s="28"/>
      <c r="N65" s="28"/>
      <c r="O65" s="28"/>
      <c r="P65" s="28"/>
    </row>
    <row r="66" spans="8:16" ht="14.25">
      <c r="H66" s="28"/>
      <c r="I66" s="28"/>
      <c r="J66" s="28"/>
      <c r="K66" s="28"/>
      <c r="L66" s="28"/>
      <c r="M66" s="28"/>
      <c r="N66" s="28"/>
      <c r="O66" s="28"/>
      <c r="P66" s="28"/>
    </row>
    <row r="67" spans="1:6" s="67" customFormat="1" ht="15">
      <c r="A67" s="65" t="s">
        <v>373</v>
      </c>
      <c r="B67" s="2"/>
      <c r="C67" s="65"/>
      <c r="D67" s="66" t="s">
        <v>374</v>
      </c>
      <c r="E67" s="24"/>
      <c r="F67" s="426"/>
    </row>
    <row r="68" spans="1:6" s="67" customFormat="1" ht="12.75">
      <c r="A68" s="11"/>
      <c r="B68" s="2"/>
      <c r="C68" s="11"/>
      <c r="D68" s="2"/>
      <c r="E68" s="24"/>
      <c r="F68" s="426"/>
    </row>
    <row r="69" spans="1:6" s="67" customFormat="1" ht="14.25">
      <c r="A69" s="11"/>
      <c r="B69" s="2"/>
      <c r="C69" s="68"/>
      <c r="D69" s="69" t="s">
        <v>375</v>
      </c>
      <c r="E69" s="24"/>
      <c r="F69" s="426"/>
    </row>
    <row r="70" spans="1:6" s="67" customFormat="1" ht="12.75">
      <c r="A70" s="11"/>
      <c r="B70" s="2"/>
      <c r="C70" s="11"/>
      <c r="D70" s="2"/>
      <c r="E70" s="70" t="s">
        <v>376</v>
      </c>
      <c r="F70" s="426"/>
    </row>
    <row r="71" spans="1:6" s="67" customFormat="1" ht="14.25">
      <c r="A71" s="11"/>
      <c r="B71" s="2"/>
      <c r="C71" s="68"/>
      <c r="D71" s="69" t="s">
        <v>377</v>
      </c>
      <c r="E71" s="24"/>
      <c r="F71" s="426"/>
    </row>
    <row r="72" spans="1:6" s="67" customFormat="1" ht="12.75">
      <c r="A72" s="11"/>
      <c r="B72" s="2"/>
      <c r="C72" s="11"/>
      <c r="D72" s="71" t="s">
        <v>378</v>
      </c>
      <c r="E72" s="24"/>
      <c r="F72" s="426"/>
    </row>
  </sheetData>
  <sheetProtection password="CF7A" sheet="1" formatCells="0" formatColumns="0" formatRows="0" insertColumns="0" insertRows="0" insertHyperlinks="0" deleteColumns="0" deleteRows="0"/>
  <protectedRanges>
    <protectedRange password="CF7A" sqref="A63:E72" name="Range1"/>
    <protectedRange password="CF7A" sqref="A9:A12 C9:E12 B9:B10 B12" name="Range1_2"/>
    <protectedRange password="CF7A" sqref="F60 E59:E61" name="Range1_1"/>
    <protectedRange password="CF7A" sqref="A6:E7" name="Range1_3"/>
  </protectedRanges>
  <mergeCells count="20">
    <mergeCell ref="C1:G1"/>
    <mergeCell ref="C3:G3"/>
    <mergeCell ref="A4:B4"/>
    <mergeCell ref="C4:G4"/>
    <mergeCell ref="C5:G5"/>
    <mergeCell ref="G10:G11"/>
    <mergeCell ref="F6:F7"/>
    <mergeCell ref="A6:E7"/>
    <mergeCell ref="A9:E9"/>
    <mergeCell ref="A8:G8"/>
    <mergeCell ref="E60:F60"/>
    <mergeCell ref="A28:A31"/>
    <mergeCell ref="A24:A27"/>
    <mergeCell ref="A20:A23"/>
    <mergeCell ref="A10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0" zoomScaleNormal="90" zoomScalePageLayoutView="0" workbookViewId="0" topLeftCell="A1">
      <selection activeCell="C5" sqref="C5:G5"/>
    </sheetView>
  </sheetViews>
  <sheetFormatPr defaultColWidth="9.140625" defaultRowHeight="12.75"/>
  <cols>
    <col min="1" max="1" width="7.28125" style="29" customWidth="1"/>
    <col min="2" max="2" width="21.2812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3" s="141" customFormat="1" ht="15">
      <c r="A2" s="439"/>
      <c r="B2" s="438" t="s">
        <v>561</v>
      </c>
      <c r="C2" s="203" t="s">
        <v>564</v>
      </c>
    </row>
    <row r="3" spans="1:7" s="141" customFormat="1" ht="30.75" customHeight="1">
      <c r="A3" s="437"/>
      <c r="B3" s="440" t="s">
        <v>558</v>
      </c>
      <c r="C3" s="502"/>
      <c r="D3" s="502"/>
      <c r="E3" s="502"/>
      <c r="F3" s="502"/>
      <c r="G3" s="502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569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6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11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306.3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80.33</v>
      </c>
      <c r="J10" s="48"/>
      <c r="K10" s="47"/>
      <c r="L10" s="48" t="s">
        <v>207</v>
      </c>
      <c r="M10" s="48">
        <v>5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>
        <v>116.76</v>
      </c>
      <c r="J11" s="48"/>
      <c r="K11" s="47"/>
      <c r="L11" s="48" t="s">
        <v>213</v>
      </c>
      <c r="M11" s="48">
        <v>154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>
        <v>25.38</v>
      </c>
      <c r="J12" s="48"/>
      <c r="K12" s="47"/>
      <c r="L12" s="48" t="s">
        <v>209</v>
      </c>
      <c r="M12" s="5">
        <v>1.65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308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132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M8*3*2+O8*5*2</f>
        <v>66</v>
      </c>
      <c r="F14" s="377"/>
      <c r="G14" s="52">
        <f t="shared" si="0"/>
        <v>0</v>
      </c>
      <c r="H14" s="7"/>
      <c r="I14" s="48"/>
      <c r="J14" s="48"/>
      <c r="K14" s="75"/>
      <c r="L14" s="48" t="s">
        <v>212</v>
      </c>
      <c r="M14" s="48">
        <v>3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254.1</v>
      </c>
      <c r="F15" s="377"/>
      <c r="G15" s="52">
        <f t="shared" si="0"/>
        <v>0</v>
      </c>
      <c r="H15" s="7"/>
      <c r="I15" s="48"/>
      <c r="J15" s="48"/>
      <c r="K15" s="75"/>
      <c r="L15" s="76"/>
      <c r="M15" s="76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M8*3*M9+O8*5*O11</f>
        <v>39.6</v>
      </c>
      <c r="F16" s="377"/>
      <c r="G16" s="52">
        <f t="shared" si="0"/>
        <v>0</v>
      </c>
      <c r="H16" s="7"/>
      <c r="I16" s="48"/>
      <c r="J16" s="48"/>
      <c r="K16" s="75"/>
      <c r="L16" s="34"/>
      <c r="M16" s="34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M8*1+O10*1</f>
        <v>11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M8*2+O10*2</f>
        <v>22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31.57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370.13899999999995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26.4385</v>
      </c>
      <c r="F22" s="377"/>
      <c r="G22" s="52">
        <f>E22*F22</f>
        <v>0</v>
      </c>
      <c r="H22" s="7"/>
      <c r="I22" s="76">
        <f>SUM(I9:I21)</f>
        <v>528.77</v>
      </c>
      <c r="J22" s="76">
        <f>SUM(J9:J21)</f>
        <v>0</v>
      </c>
      <c r="K22" s="48">
        <f>SUM(I22:J22)</f>
        <v>528.77</v>
      </c>
      <c r="L22" s="34"/>
    </row>
    <row r="23" spans="1:11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132.1925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57"/>
      <c r="C25" s="49" t="s">
        <v>199</v>
      </c>
      <c r="D25" s="50" t="s">
        <v>385</v>
      </c>
      <c r="E25" s="51">
        <f>0.6*M13</f>
        <v>79.2</v>
      </c>
      <c r="F25" s="377"/>
      <c r="G25" s="52">
        <f aca="true" t="shared" si="1" ref="G25:G46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6.6000000000000005</v>
      </c>
      <c r="F26" s="377"/>
      <c r="G26" s="52">
        <f t="shared" si="1"/>
        <v>0</v>
      </c>
      <c r="H26" s="7"/>
      <c r="I26" s="34"/>
      <c r="J26" s="34"/>
      <c r="K26" s="34"/>
    </row>
    <row r="27" spans="1:11" ht="16.5">
      <c r="A27" s="498"/>
      <c r="B27" s="357"/>
      <c r="C27" s="49" t="s">
        <v>267</v>
      </c>
      <c r="D27" s="50" t="s">
        <v>385</v>
      </c>
      <c r="E27" s="51">
        <f>0.35*M13</f>
        <v>46.199999999999996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357"/>
      <c r="C28" s="80" t="s">
        <v>196</v>
      </c>
      <c r="D28" s="50" t="s">
        <v>385</v>
      </c>
      <c r="E28" s="51">
        <f>E23+E27</f>
        <v>178.39249999999998</v>
      </c>
      <c r="F28" s="377"/>
      <c r="G28" s="52">
        <f t="shared" si="1"/>
        <v>0</v>
      </c>
      <c r="H28" s="7"/>
      <c r="I28" s="34"/>
      <c r="J28" s="34"/>
      <c r="K28" s="34"/>
    </row>
    <row r="29" spans="1:11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178.39249999999998</v>
      </c>
      <c r="F29" s="377"/>
      <c r="G29" s="52">
        <f t="shared" si="1"/>
        <v>0</v>
      </c>
      <c r="H29" s="7"/>
      <c r="I29" s="34"/>
      <c r="J29" s="34"/>
      <c r="K29" s="34"/>
    </row>
    <row r="30" spans="1:11" ht="28.5">
      <c r="A30" s="48">
        <v>12</v>
      </c>
      <c r="B30" s="357"/>
      <c r="C30" s="80" t="s">
        <v>269</v>
      </c>
      <c r="D30" s="50" t="s">
        <v>385</v>
      </c>
      <c r="E30" s="51">
        <f>K22+M13</f>
        <v>660.77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616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57"/>
      <c r="C32" s="80" t="s">
        <v>42</v>
      </c>
      <c r="D32" s="50" t="s">
        <v>385</v>
      </c>
      <c r="E32" s="51">
        <f>0.1*1.1*E34+0.1*1.2*E35</f>
        <v>17.290000000000003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296</v>
      </c>
      <c r="D33" s="50" t="s">
        <v>385</v>
      </c>
      <c r="E33" s="51">
        <f>E30-E32-E44-8.4-4.4</f>
        <v>531.9100000000001</v>
      </c>
      <c r="F33" s="377"/>
      <c r="G33" s="52">
        <f t="shared" si="1"/>
        <v>0</v>
      </c>
      <c r="H33" s="7"/>
      <c r="I33" s="34"/>
      <c r="J33" s="34"/>
      <c r="K33" s="34"/>
    </row>
    <row r="34" spans="1:11" ht="14.25">
      <c r="A34" s="48">
        <v>16</v>
      </c>
      <c r="B34" s="357"/>
      <c r="C34" s="53" t="s">
        <v>291</v>
      </c>
      <c r="D34" s="48" t="s">
        <v>190</v>
      </c>
      <c r="E34" s="48">
        <v>119</v>
      </c>
      <c r="F34" s="377"/>
      <c r="G34" s="52">
        <f t="shared" si="1"/>
        <v>0</v>
      </c>
      <c r="H34" s="7"/>
      <c r="I34" s="34"/>
      <c r="J34" s="34"/>
      <c r="K34" s="51"/>
    </row>
    <row r="35" spans="1:15" s="30" customFormat="1" ht="14.25">
      <c r="A35" s="48">
        <v>17</v>
      </c>
      <c r="B35" s="357"/>
      <c r="C35" s="53" t="s">
        <v>271</v>
      </c>
      <c r="D35" s="48" t="s">
        <v>190</v>
      </c>
      <c r="E35" s="48">
        <v>35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8" ht="28.5">
      <c r="A36" s="48">
        <v>18</v>
      </c>
      <c r="B36" s="357"/>
      <c r="C36" s="53" t="s">
        <v>309</v>
      </c>
      <c r="D36" s="48" t="s">
        <v>191</v>
      </c>
      <c r="E36" s="48">
        <v>3</v>
      </c>
      <c r="F36" s="377"/>
      <c r="G36" s="52">
        <f t="shared" si="1"/>
        <v>0</v>
      </c>
      <c r="H36" s="7"/>
    </row>
    <row r="37" spans="1:8" ht="15" customHeight="1">
      <c r="A37" s="48">
        <v>19</v>
      </c>
      <c r="B37" s="357"/>
      <c r="C37" s="53" t="s">
        <v>200</v>
      </c>
      <c r="D37" s="48" t="s">
        <v>191</v>
      </c>
      <c r="E37" s="48">
        <f>M8</f>
        <v>11</v>
      </c>
      <c r="F37" s="377"/>
      <c r="G37" s="52">
        <f t="shared" si="1"/>
        <v>0</v>
      </c>
      <c r="H37" s="7"/>
    </row>
    <row r="38" spans="1:15" ht="30" customHeight="1">
      <c r="A38" s="48">
        <v>20</v>
      </c>
      <c r="B38" s="357"/>
      <c r="C38" s="53" t="s">
        <v>233</v>
      </c>
      <c r="D38" s="48" t="s">
        <v>191</v>
      </c>
      <c r="E38" s="51">
        <v>3</v>
      </c>
      <c r="F38" s="377"/>
      <c r="G38" s="52">
        <f t="shared" si="1"/>
        <v>0</v>
      </c>
      <c r="H38" s="7"/>
      <c r="I38" s="30"/>
      <c r="J38" s="30"/>
      <c r="K38" s="30"/>
      <c r="L38" s="30"/>
      <c r="N38" s="30"/>
      <c r="O38" s="30"/>
    </row>
    <row r="39" spans="1:8" ht="14.25">
      <c r="A39" s="48">
        <v>21</v>
      </c>
      <c r="B39" s="357"/>
      <c r="C39" s="49" t="s">
        <v>192</v>
      </c>
      <c r="D39" s="48" t="s">
        <v>193</v>
      </c>
      <c r="E39" s="51">
        <f>40*M11/2000</f>
        <v>3.08</v>
      </c>
      <c r="F39" s="377"/>
      <c r="G39" s="52">
        <f t="shared" si="1"/>
        <v>0</v>
      </c>
      <c r="H39" s="7"/>
    </row>
    <row r="40" spans="1:13" ht="14.25">
      <c r="A40" s="48">
        <v>22</v>
      </c>
      <c r="B40" s="357"/>
      <c r="C40" s="95" t="s">
        <v>282</v>
      </c>
      <c r="D40" s="48" t="s">
        <v>190</v>
      </c>
      <c r="E40" s="51">
        <f>E17</f>
        <v>11</v>
      </c>
      <c r="F40" s="377"/>
      <c r="G40" s="52">
        <f t="shared" si="1"/>
        <v>0</v>
      </c>
      <c r="H40" s="7"/>
      <c r="M40" s="34"/>
    </row>
    <row r="41" spans="1:8" ht="16.5">
      <c r="A41" s="48">
        <v>23</v>
      </c>
      <c r="B41" s="357"/>
      <c r="C41" s="95" t="s">
        <v>283</v>
      </c>
      <c r="D41" s="48" t="s">
        <v>386</v>
      </c>
      <c r="E41" s="51">
        <f>E18</f>
        <v>22</v>
      </c>
      <c r="F41" s="377"/>
      <c r="G41" s="52">
        <f t="shared" si="1"/>
        <v>0</v>
      </c>
      <c r="H41" s="7"/>
    </row>
    <row r="42" spans="1:15" s="30" customFormat="1" ht="28.5">
      <c r="A42" s="48">
        <v>24</v>
      </c>
      <c r="B42" s="357"/>
      <c r="C42" s="77" t="s">
        <v>293</v>
      </c>
      <c r="D42" s="48" t="s">
        <v>195</v>
      </c>
      <c r="E42" s="82">
        <f>(E15+E16)*96/1000</f>
        <v>28.195199999999996</v>
      </c>
      <c r="F42" s="377"/>
      <c r="G42" s="52">
        <f t="shared" si="1"/>
        <v>0</v>
      </c>
      <c r="H42" s="34"/>
      <c r="I42" s="34"/>
      <c r="J42" s="29"/>
      <c r="N42" s="34"/>
      <c r="O42" s="29"/>
    </row>
    <row r="43" spans="1:14" ht="28.5">
      <c r="A43" s="48">
        <v>25</v>
      </c>
      <c r="B43" s="357"/>
      <c r="C43" s="77" t="s">
        <v>20</v>
      </c>
      <c r="D43" s="48" t="s">
        <v>195</v>
      </c>
      <c r="E43" s="82">
        <f>(E15+E16)*0.06*2.4</f>
        <v>42.2928</v>
      </c>
      <c r="F43" s="377"/>
      <c r="G43" s="52">
        <f t="shared" si="1"/>
        <v>0</v>
      </c>
      <c r="H43" s="34"/>
      <c r="I43" s="34"/>
      <c r="N43" s="34"/>
    </row>
    <row r="44" spans="1:8" ht="28.5">
      <c r="A44" s="48">
        <v>26</v>
      </c>
      <c r="B44" s="357"/>
      <c r="C44" s="53" t="s">
        <v>21</v>
      </c>
      <c r="D44" s="83" t="s">
        <v>385</v>
      </c>
      <c r="E44" s="85">
        <v>98.77</v>
      </c>
      <c r="F44" s="377"/>
      <c r="G44" s="52">
        <f t="shared" si="1"/>
        <v>0</v>
      </c>
      <c r="H44" s="7"/>
    </row>
    <row r="45" spans="1:15" ht="14.25">
      <c r="A45" s="48">
        <v>27</v>
      </c>
      <c r="B45" s="357"/>
      <c r="C45" s="77" t="s">
        <v>194</v>
      </c>
      <c r="D45" s="74" t="s">
        <v>190</v>
      </c>
      <c r="E45" s="85">
        <f>E13+E14</f>
        <v>374</v>
      </c>
      <c r="F45" s="377"/>
      <c r="G45" s="52">
        <f t="shared" si="1"/>
        <v>0</v>
      </c>
      <c r="H45" s="7"/>
      <c r="N45" s="30"/>
      <c r="O45" s="30"/>
    </row>
    <row r="46" spans="1:15" s="2" customFormat="1" ht="14.25">
      <c r="A46" s="48">
        <v>28</v>
      </c>
      <c r="B46" s="357"/>
      <c r="C46" s="55" t="s">
        <v>201</v>
      </c>
      <c r="D46" s="50" t="s">
        <v>190</v>
      </c>
      <c r="E46" s="50">
        <f>M11</f>
        <v>154</v>
      </c>
      <c r="F46" s="377"/>
      <c r="G46" s="52">
        <f t="shared" si="1"/>
        <v>0</v>
      </c>
      <c r="H46" s="7"/>
      <c r="I46" s="29"/>
      <c r="J46" s="29"/>
      <c r="K46" s="29"/>
      <c r="L46" s="29"/>
      <c r="M46" s="29"/>
      <c r="N46" s="30"/>
      <c r="O46" s="30"/>
    </row>
    <row r="47" spans="5:8" ht="15">
      <c r="E47" s="57"/>
      <c r="F47" s="58" t="s">
        <v>364</v>
      </c>
      <c r="G47" s="59">
        <f>SUM(G13:G46)</f>
        <v>0</v>
      </c>
      <c r="H47" s="7"/>
    </row>
    <row r="48" spans="5:8" ht="15">
      <c r="E48" s="484" t="s">
        <v>206</v>
      </c>
      <c r="F48" s="484"/>
      <c r="G48" s="59">
        <f>G47*0.2</f>
        <v>0</v>
      </c>
      <c r="H48" s="7"/>
    </row>
    <row r="49" spans="3:7" ht="15">
      <c r="C49" s="26"/>
      <c r="E49" s="57"/>
      <c r="F49" s="60" t="s">
        <v>365</v>
      </c>
      <c r="G49" s="59">
        <f>SUM(G47:G48)</f>
        <v>0</v>
      </c>
    </row>
    <row r="50" spans="3:5" ht="14.25">
      <c r="C50" s="61"/>
      <c r="D50" s="62"/>
      <c r="E50" s="62"/>
    </row>
    <row r="51" spans="2:16" ht="18.75">
      <c r="B51" s="63" t="s">
        <v>370</v>
      </c>
      <c r="C51" s="64" t="s">
        <v>371</v>
      </c>
      <c r="D51" s="62"/>
      <c r="E51" s="62"/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4.25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5" customHeight="1">
      <c r="H53" s="28"/>
      <c r="I53" s="28"/>
      <c r="J53" s="28"/>
      <c r="K53" s="28"/>
      <c r="L53" s="28"/>
      <c r="M53" s="28"/>
      <c r="N53" s="28"/>
      <c r="O53" s="28"/>
      <c r="P53" s="28"/>
    </row>
    <row r="54" spans="8:16" ht="14.25">
      <c r="H54" s="28"/>
      <c r="I54" s="28"/>
      <c r="J54" s="28"/>
      <c r="K54" s="28"/>
      <c r="L54" s="28"/>
      <c r="M54" s="28"/>
      <c r="N54" s="28"/>
      <c r="O54" s="28"/>
      <c r="P54" s="28"/>
    </row>
    <row r="55" spans="1:6" s="67" customFormat="1" ht="15">
      <c r="A55" s="65" t="s">
        <v>373</v>
      </c>
      <c r="B55" s="2"/>
      <c r="C55" s="65"/>
      <c r="D55" s="66" t="s">
        <v>374</v>
      </c>
      <c r="E55" s="24"/>
      <c r="F55" s="426"/>
    </row>
    <row r="56" spans="1:6" s="67" customFormat="1" ht="12.75">
      <c r="A56" s="11"/>
      <c r="B56" s="2"/>
      <c r="C56" s="11"/>
      <c r="D56" s="2"/>
      <c r="E56" s="24"/>
      <c r="F56" s="426"/>
    </row>
    <row r="57" spans="1:6" s="67" customFormat="1" ht="14.25">
      <c r="A57" s="11"/>
      <c r="B57" s="2"/>
      <c r="C57" s="68"/>
      <c r="D57" s="69" t="s">
        <v>375</v>
      </c>
      <c r="E57" s="24"/>
      <c r="F57" s="426"/>
    </row>
    <row r="58" spans="1:6" s="67" customFormat="1" ht="12.75">
      <c r="A58" s="11"/>
      <c r="B58" s="2"/>
      <c r="C58" s="11"/>
      <c r="D58" s="2"/>
      <c r="E58" s="70" t="s">
        <v>376</v>
      </c>
      <c r="F58" s="426"/>
    </row>
    <row r="59" spans="1:6" s="67" customFormat="1" ht="14.25">
      <c r="A59" s="11"/>
      <c r="B59" s="2"/>
      <c r="C59" s="68"/>
      <c r="D59" s="69" t="s">
        <v>377</v>
      </c>
      <c r="E59" s="24"/>
      <c r="F59" s="426"/>
    </row>
    <row r="60" spans="1:6" s="67" customFormat="1" ht="12.75">
      <c r="A60" s="11"/>
      <c r="B60" s="2"/>
      <c r="C60" s="11"/>
      <c r="D60" s="71" t="s">
        <v>378</v>
      </c>
      <c r="E60" s="24"/>
      <c r="F60" s="426"/>
    </row>
  </sheetData>
  <sheetProtection sheet="1" formatCells="0" formatColumns="0" formatRows="0" insertColumns="0" insertRows="0" insertHyperlinks="0" deleteColumns="0" deleteRows="0"/>
  <protectedRanges>
    <protectedRange password="CF7A" sqref="A51:E60" name="Range1"/>
    <protectedRange password="CF7A" sqref="A9:A12 C9:E12 B9:B10 B12" name="Range1_2"/>
    <protectedRange password="CF7A" sqref="F48 E47:E49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48:F48"/>
    <mergeCell ref="A24:A27"/>
    <mergeCell ref="A20:A23"/>
    <mergeCell ref="A6:E7"/>
    <mergeCell ref="A9:E9"/>
    <mergeCell ref="A8:G8"/>
    <mergeCell ref="A10:A11"/>
    <mergeCell ref="B10:B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7.28125" style="29" customWidth="1"/>
    <col min="2" max="2" width="18.421875" style="29" customWidth="1"/>
    <col min="3" max="3" width="62.57421875" style="29" customWidth="1"/>
    <col min="4" max="4" width="9.140625" style="29" customWidth="1"/>
    <col min="5" max="5" width="7.7109375" style="29" customWidth="1"/>
    <col min="6" max="6" width="8.8515625" style="29" customWidth="1"/>
    <col min="7" max="7" width="13.140625" style="29" customWidth="1"/>
    <col min="8" max="8" width="14.8515625" style="29" customWidth="1"/>
    <col min="9" max="12" width="9.140625" style="29" customWidth="1"/>
    <col min="13" max="13" width="11.140625" style="29" bestFit="1" customWidth="1"/>
    <col min="14" max="16384" width="9.140625" style="29" customWidth="1"/>
  </cols>
  <sheetData>
    <row r="1" spans="1:7" s="141" customFormat="1" ht="15">
      <c r="A1" s="437"/>
      <c r="B1" s="438" t="s">
        <v>560</v>
      </c>
      <c r="C1" s="474" t="s">
        <v>380</v>
      </c>
      <c r="D1" s="474"/>
      <c r="E1" s="474"/>
      <c r="F1" s="474"/>
      <c r="G1" s="474"/>
    </row>
    <row r="2" spans="1:6" s="141" customFormat="1" ht="15">
      <c r="A2" s="439"/>
      <c r="B2" s="438" t="s">
        <v>561</v>
      </c>
      <c r="C2" s="203" t="s">
        <v>564</v>
      </c>
      <c r="F2" s="445"/>
    </row>
    <row r="3" spans="1:7" s="141" customFormat="1" ht="30.75" customHeight="1">
      <c r="A3" s="437"/>
      <c r="B3" s="440" t="s">
        <v>558</v>
      </c>
      <c r="C3" s="479"/>
      <c r="D3" s="479"/>
      <c r="E3" s="479"/>
      <c r="F3" s="479"/>
      <c r="G3" s="479"/>
    </row>
    <row r="4" spans="1:7" s="141" customFormat="1" ht="18" customHeight="1">
      <c r="A4" s="491" t="s">
        <v>559</v>
      </c>
      <c r="B4" s="491"/>
      <c r="C4" s="474"/>
      <c r="D4" s="474"/>
      <c r="E4" s="474"/>
      <c r="F4" s="474"/>
      <c r="G4" s="474"/>
    </row>
    <row r="5" spans="1:8" s="141" customFormat="1" ht="45.75" customHeight="1">
      <c r="A5" s="441"/>
      <c r="B5" s="442" t="s">
        <v>562</v>
      </c>
      <c r="C5" s="492" t="s">
        <v>570</v>
      </c>
      <c r="D5" s="492"/>
      <c r="E5" s="492"/>
      <c r="F5" s="492"/>
      <c r="G5" s="492"/>
      <c r="H5" s="436"/>
    </row>
    <row r="6" spans="1:16" ht="20.25" customHeight="1">
      <c r="A6" s="486" t="s">
        <v>379</v>
      </c>
      <c r="B6" s="486"/>
      <c r="C6" s="486"/>
      <c r="D6" s="486"/>
      <c r="E6" s="486"/>
      <c r="F6" s="501">
        <v>7</v>
      </c>
      <c r="G6" s="26"/>
      <c r="H6" s="27"/>
      <c r="I6" s="27"/>
      <c r="J6" s="27"/>
      <c r="K6" s="27"/>
      <c r="L6" s="28"/>
      <c r="M6" s="28"/>
      <c r="N6" s="28"/>
      <c r="O6" s="28"/>
      <c r="P6" s="28"/>
    </row>
    <row r="7" spans="1:16" ht="15" customHeight="1">
      <c r="A7" s="486"/>
      <c r="B7" s="486"/>
      <c r="C7" s="486"/>
      <c r="D7" s="486"/>
      <c r="E7" s="486"/>
      <c r="F7" s="501"/>
      <c r="G7" s="30"/>
      <c r="H7" s="31"/>
      <c r="I7" s="31"/>
      <c r="J7" s="31"/>
      <c r="K7" s="31"/>
      <c r="L7" s="28"/>
      <c r="M7" s="28"/>
      <c r="N7" s="28"/>
      <c r="O7" s="28"/>
      <c r="P7" s="28"/>
    </row>
    <row r="8" spans="1:15" s="30" customFormat="1" ht="30" customHeight="1" thickBot="1">
      <c r="A8" s="499"/>
      <c r="B8" s="499"/>
      <c r="C8" s="499"/>
      <c r="D8" s="499"/>
      <c r="E8" s="499"/>
      <c r="F8" s="499"/>
      <c r="G8" s="499"/>
      <c r="H8" s="36"/>
      <c r="I8" s="12" t="s">
        <v>204</v>
      </c>
      <c r="J8" s="12" t="s">
        <v>205</v>
      </c>
      <c r="K8" s="13"/>
      <c r="L8" s="48" t="s">
        <v>211</v>
      </c>
      <c r="M8" s="48">
        <v>4</v>
      </c>
      <c r="N8" s="48" t="s">
        <v>286</v>
      </c>
      <c r="O8" s="48"/>
    </row>
    <row r="9" spans="1:15" ht="15.75" customHeight="1" thickBot="1">
      <c r="A9" s="488"/>
      <c r="B9" s="488"/>
      <c r="C9" s="488"/>
      <c r="D9" s="488"/>
      <c r="E9" s="488"/>
      <c r="F9" s="26"/>
      <c r="G9" s="39" t="s">
        <v>367</v>
      </c>
      <c r="H9" s="26"/>
      <c r="I9" s="73">
        <v>174.94</v>
      </c>
      <c r="J9" s="73"/>
      <c r="K9" s="47"/>
      <c r="L9" s="74" t="s">
        <v>210</v>
      </c>
      <c r="M9" s="74">
        <v>1.2</v>
      </c>
      <c r="N9" s="48" t="s">
        <v>287</v>
      </c>
      <c r="O9" s="48"/>
    </row>
    <row r="10" spans="1:15" ht="15.75" thickBot="1">
      <c r="A10" s="493" t="s">
        <v>372</v>
      </c>
      <c r="B10" s="490" t="s">
        <v>363</v>
      </c>
      <c r="C10" s="490" t="s">
        <v>369</v>
      </c>
      <c r="D10" s="489" t="s">
        <v>189</v>
      </c>
      <c r="E10" s="489" t="s">
        <v>366</v>
      </c>
      <c r="F10" s="490" t="s">
        <v>203</v>
      </c>
      <c r="G10" s="490" t="s">
        <v>368</v>
      </c>
      <c r="H10" s="40"/>
      <c r="I10" s="48">
        <v>47.93</v>
      </c>
      <c r="J10" s="48"/>
      <c r="K10" s="47"/>
      <c r="L10" s="48" t="s">
        <v>207</v>
      </c>
      <c r="M10" s="48">
        <v>6</v>
      </c>
      <c r="N10" s="48" t="s">
        <v>288</v>
      </c>
      <c r="O10" s="48"/>
    </row>
    <row r="11" spans="1:18" ht="15" thickBot="1">
      <c r="A11" s="494"/>
      <c r="B11" s="490"/>
      <c r="C11" s="490"/>
      <c r="D11" s="489"/>
      <c r="E11" s="489"/>
      <c r="F11" s="490"/>
      <c r="G11" s="490"/>
      <c r="H11" s="14"/>
      <c r="I11" s="48"/>
      <c r="J11" s="48"/>
      <c r="K11" s="47"/>
      <c r="L11" s="48" t="s">
        <v>213</v>
      </c>
      <c r="M11" s="48">
        <v>71</v>
      </c>
      <c r="N11" s="74" t="s">
        <v>252</v>
      </c>
      <c r="O11" s="74"/>
      <c r="P11" s="15"/>
      <c r="Q11" s="15"/>
      <c r="R11" s="15"/>
    </row>
    <row r="12" spans="1:15" ht="15" thickBo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2"/>
      <c r="I12" s="48"/>
      <c r="J12" s="48"/>
      <c r="K12" s="47"/>
      <c r="L12" s="48" t="s">
        <v>209</v>
      </c>
      <c r="M12" s="5">
        <v>1.6</v>
      </c>
      <c r="N12" s="48" t="s">
        <v>284</v>
      </c>
      <c r="O12" s="48"/>
    </row>
    <row r="13" spans="1:15" ht="14.25">
      <c r="A13" s="48">
        <v>1</v>
      </c>
      <c r="B13" s="357"/>
      <c r="C13" s="53" t="s">
        <v>258</v>
      </c>
      <c r="D13" s="48" t="s">
        <v>190</v>
      </c>
      <c r="E13" s="51">
        <f>M11*2</f>
        <v>142</v>
      </c>
      <c r="F13" s="377"/>
      <c r="G13" s="52">
        <f aca="true" t="shared" si="0" ref="G13:G19">E13*F13</f>
        <v>0</v>
      </c>
      <c r="H13" s="7"/>
      <c r="I13" s="48"/>
      <c r="J13" s="48"/>
      <c r="K13" s="47"/>
      <c r="L13" s="48" t="s">
        <v>208</v>
      </c>
      <c r="M13" s="48">
        <f>M8*M9*M10*2</f>
        <v>57.599999999999994</v>
      </c>
      <c r="N13" s="48" t="s">
        <v>285</v>
      </c>
      <c r="O13" s="48"/>
    </row>
    <row r="14" spans="1:15" ht="14.25">
      <c r="A14" s="48">
        <v>2</v>
      </c>
      <c r="B14" s="357"/>
      <c r="C14" s="53" t="s">
        <v>37</v>
      </c>
      <c r="D14" s="48" t="s">
        <v>190</v>
      </c>
      <c r="E14" s="51">
        <f>M8*4.5*2+O8*8*2</f>
        <v>36</v>
      </c>
      <c r="F14" s="377"/>
      <c r="G14" s="52">
        <f t="shared" si="0"/>
        <v>0</v>
      </c>
      <c r="H14" s="7"/>
      <c r="I14" s="48"/>
      <c r="J14" s="48"/>
      <c r="K14" s="75"/>
      <c r="L14" s="48" t="s">
        <v>212</v>
      </c>
      <c r="M14" s="48">
        <v>2</v>
      </c>
      <c r="N14" s="48" t="s">
        <v>253</v>
      </c>
      <c r="O14" s="48"/>
    </row>
    <row r="15" spans="1:15" ht="28.5">
      <c r="A15" s="48">
        <v>3</v>
      </c>
      <c r="B15" s="357"/>
      <c r="C15" s="53" t="s">
        <v>260</v>
      </c>
      <c r="D15" s="48" t="s">
        <v>386</v>
      </c>
      <c r="E15" s="51">
        <f>M11*M12</f>
        <v>113.60000000000001</v>
      </c>
      <c r="F15" s="377"/>
      <c r="G15" s="52">
        <f t="shared" si="0"/>
        <v>0</v>
      </c>
      <c r="H15" s="7"/>
      <c r="I15" s="48"/>
      <c r="J15" s="48"/>
      <c r="K15" s="75"/>
      <c r="L15" s="76"/>
      <c r="M15" s="76"/>
      <c r="N15" s="48" t="s">
        <v>209</v>
      </c>
      <c r="O15" s="48"/>
    </row>
    <row r="16" spans="1:15" ht="28.5">
      <c r="A16" s="48">
        <v>4</v>
      </c>
      <c r="B16" s="357"/>
      <c r="C16" s="53" t="s">
        <v>38</v>
      </c>
      <c r="D16" s="48" t="s">
        <v>386</v>
      </c>
      <c r="E16" s="51">
        <f>M8*4.5*M9+O8*8*O11</f>
        <v>21.599999999999998</v>
      </c>
      <c r="F16" s="377"/>
      <c r="G16" s="52">
        <f t="shared" si="0"/>
        <v>0</v>
      </c>
      <c r="H16" s="7"/>
      <c r="I16" s="48"/>
      <c r="J16" s="48"/>
      <c r="K16" s="75"/>
      <c r="L16" s="34"/>
      <c r="M16" s="34"/>
      <c r="N16" s="48" t="s">
        <v>216</v>
      </c>
      <c r="O16" s="48"/>
    </row>
    <row r="17" spans="1:13" ht="14.25">
      <c r="A17" s="48">
        <v>5</v>
      </c>
      <c r="B17" s="357"/>
      <c r="C17" s="53" t="s">
        <v>39</v>
      </c>
      <c r="D17" s="48" t="s">
        <v>190</v>
      </c>
      <c r="E17" s="51">
        <f>M8*1+O10*1</f>
        <v>4</v>
      </c>
      <c r="F17" s="377"/>
      <c r="G17" s="52">
        <f t="shared" si="0"/>
        <v>0</v>
      </c>
      <c r="H17" s="7"/>
      <c r="I17" s="48"/>
      <c r="J17" s="48"/>
      <c r="K17" s="75"/>
      <c r="L17" s="34"/>
      <c r="M17" s="34"/>
    </row>
    <row r="18" spans="1:13" ht="16.5">
      <c r="A18" s="48">
        <v>6</v>
      </c>
      <c r="B18" s="357"/>
      <c r="C18" s="53" t="s">
        <v>40</v>
      </c>
      <c r="D18" s="48" t="s">
        <v>386</v>
      </c>
      <c r="E18" s="51">
        <f>M8*1.5+O10*1.5</f>
        <v>6</v>
      </c>
      <c r="F18" s="377"/>
      <c r="G18" s="52">
        <f t="shared" si="0"/>
        <v>0</v>
      </c>
      <c r="H18" s="7"/>
      <c r="I18" s="48"/>
      <c r="J18" s="48"/>
      <c r="K18" s="75"/>
      <c r="L18" s="34"/>
      <c r="M18" s="34"/>
    </row>
    <row r="19" spans="1:13" ht="28.5">
      <c r="A19" s="48">
        <v>7</v>
      </c>
      <c r="B19" s="357"/>
      <c r="C19" s="77" t="s">
        <v>268</v>
      </c>
      <c r="D19" s="50" t="s">
        <v>385</v>
      </c>
      <c r="E19" s="51">
        <f>(E15+E16+E18)*0.1</f>
        <v>14.120000000000003</v>
      </c>
      <c r="F19" s="377"/>
      <c r="G19" s="52">
        <f t="shared" si="0"/>
        <v>0</v>
      </c>
      <c r="H19" s="7"/>
      <c r="I19" s="48"/>
      <c r="J19" s="48"/>
      <c r="K19" s="75"/>
      <c r="L19" s="34"/>
      <c r="M19" s="34"/>
    </row>
    <row r="20" spans="1:13" ht="28.5">
      <c r="A20" s="496">
        <v>8</v>
      </c>
      <c r="B20" s="43"/>
      <c r="C20" s="44" t="s">
        <v>198</v>
      </c>
      <c r="D20" s="43"/>
      <c r="E20" s="43"/>
      <c r="F20" s="45"/>
      <c r="G20" s="45"/>
      <c r="H20" s="7"/>
      <c r="I20" s="48"/>
      <c r="J20" s="48"/>
      <c r="K20" s="75"/>
      <c r="L20" s="34"/>
      <c r="M20" s="34"/>
    </row>
    <row r="21" spans="1:12" ht="16.5">
      <c r="A21" s="497">
        <f>A20+1</f>
        <v>9</v>
      </c>
      <c r="B21" s="357"/>
      <c r="C21" s="49" t="s">
        <v>264</v>
      </c>
      <c r="D21" s="50" t="s">
        <v>385</v>
      </c>
      <c r="E21" s="51">
        <f>0.7*I22</f>
        <v>156.009</v>
      </c>
      <c r="F21" s="377"/>
      <c r="G21" s="52">
        <f>E21*F21</f>
        <v>0</v>
      </c>
      <c r="H21" s="7"/>
      <c r="I21" s="48"/>
      <c r="J21" s="48"/>
      <c r="K21" s="75"/>
      <c r="L21" s="34"/>
    </row>
    <row r="22" spans="1:12" ht="16.5">
      <c r="A22" s="497">
        <f>A21+1</f>
        <v>10</v>
      </c>
      <c r="B22" s="357"/>
      <c r="C22" s="53" t="s">
        <v>263</v>
      </c>
      <c r="D22" s="50" t="s">
        <v>385</v>
      </c>
      <c r="E22" s="51">
        <f>0.05*I22</f>
        <v>11.143500000000001</v>
      </c>
      <c r="F22" s="377"/>
      <c r="G22" s="52">
        <f>E22*F22</f>
        <v>0</v>
      </c>
      <c r="H22" s="7"/>
      <c r="I22" s="76">
        <f>SUM(I9:I21)</f>
        <v>222.87</v>
      </c>
      <c r="J22" s="76">
        <f>SUM(J9:J21)</f>
        <v>0</v>
      </c>
      <c r="K22" s="48">
        <f>SUM(I22:J22)</f>
        <v>222.87</v>
      </c>
      <c r="L22" s="34"/>
    </row>
    <row r="23" spans="1:11" ht="16.5">
      <c r="A23" s="498">
        <f>A22+1</f>
        <v>11</v>
      </c>
      <c r="B23" s="357"/>
      <c r="C23" s="49" t="s">
        <v>265</v>
      </c>
      <c r="D23" s="50" t="s">
        <v>385</v>
      </c>
      <c r="E23" s="51">
        <f>0.25*I22</f>
        <v>55.7175</v>
      </c>
      <c r="F23" s="377"/>
      <c r="G23" s="52">
        <f>E23*F23</f>
        <v>0</v>
      </c>
      <c r="H23" s="7"/>
      <c r="I23" s="34"/>
      <c r="J23" s="34"/>
      <c r="K23" s="34"/>
    </row>
    <row r="24" spans="1:11" ht="15" customHeight="1">
      <c r="A24" s="496">
        <v>9</v>
      </c>
      <c r="B24" s="48"/>
      <c r="C24" s="53" t="s">
        <v>244</v>
      </c>
      <c r="D24" s="96"/>
      <c r="E24" s="96"/>
      <c r="F24" s="52"/>
      <c r="G24" s="97"/>
      <c r="H24" s="7"/>
      <c r="I24" s="34"/>
      <c r="J24" s="34"/>
      <c r="K24" s="34"/>
    </row>
    <row r="25" spans="1:11" ht="15" customHeight="1">
      <c r="A25" s="497"/>
      <c r="B25" s="357"/>
      <c r="C25" s="49" t="s">
        <v>199</v>
      </c>
      <c r="D25" s="50" t="s">
        <v>385</v>
      </c>
      <c r="E25" s="51">
        <f>0.6*M13</f>
        <v>34.559999999999995</v>
      </c>
      <c r="F25" s="377"/>
      <c r="G25" s="52">
        <f aca="true" t="shared" si="1" ref="G25:G45">E25*F25</f>
        <v>0</v>
      </c>
      <c r="H25" s="7"/>
      <c r="I25" s="34"/>
      <c r="J25" s="34"/>
      <c r="K25" s="34"/>
    </row>
    <row r="26" spans="1:11" ht="16.5">
      <c r="A26" s="497"/>
      <c r="B26" s="357"/>
      <c r="C26" s="53" t="s">
        <v>266</v>
      </c>
      <c r="D26" s="50" t="s">
        <v>385</v>
      </c>
      <c r="E26" s="51">
        <f>0.05*M13</f>
        <v>2.88</v>
      </c>
      <c r="F26" s="377"/>
      <c r="G26" s="52">
        <f t="shared" si="1"/>
        <v>0</v>
      </c>
      <c r="H26" s="7"/>
      <c r="I26" s="34"/>
      <c r="J26" s="34"/>
      <c r="K26" s="34"/>
    </row>
    <row r="27" spans="1:11" ht="16.5">
      <c r="A27" s="498"/>
      <c r="B27" s="357"/>
      <c r="C27" s="49" t="s">
        <v>267</v>
      </c>
      <c r="D27" s="50" t="s">
        <v>385</v>
      </c>
      <c r="E27" s="51">
        <f>0.35*M13</f>
        <v>20.159999999999997</v>
      </c>
      <c r="F27" s="377"/>
      <c r="G27" s="52">
        <f t="shared" si="1"/>
        <v>0</v>
      </c>
      <c r="H27" s="7"/>
      <c r="I27" s="34"/>
      <c r="J27" s="34"/>
      <c r="K27" s="34"/>
    </row>
    <row r="28" spans="1:11" ht="28.5">
      <c r="A28" s="48">
        <v>10</v>
      </c>
      <c r="B28" s="48"/>
      <c r="C28" s="80" t="s">
        <v>196</v>
      </c>
      <c r="D28" s="50" t="s">
        <v>385</v>
      </c>
      <c r="E28" s="51">
        <f>E23+E27</f>
        <v>75.8775</v>
      </c>
      <c r="F28" s="52"/>
      <c r="G28" s="52">
        <f t="shared" si="1"/>
        <v>0</v>
      </c>
      <c r="H28" s="7"/>
      <c r="I28" s="34"/>
      <c r="J28" s="34"/>
      <c r="K28" s="34"/>
    </row>
    <row r="29" spans="1:11" ht="15" customHeight="1">
      <c r="A29" s="48">
        <v>11</v>
      </c>
      <c r="B29" s="357"/>
      <c r="C29" s="55" t="s">
        <v>197</v>
      </c>
      <c r="D29" s="50" t="s">
        <v>385</v>
      </c>
      <c r="E29" s="81">
        <f>E28</f>
        <v>75.8775</v>
      </c>
      <c r="F29" s="377"/>
      <c r="G29" s="52">
        <f t="shared" si="1"/>
        <v>0</v>
      </c>
      <c r="H29" s="7"/>
      <c r="I29" s="34"/>
      <c r="J29" s="34"/>
      <c r="K29" s="34"/>
    </row>
    <row r="30" spans="1:11" ht="16.5">
      <c r="A30" s="48">
        <v>12</v>
      </c>
      <c r="B30" s="357"/>
      <c r="C30" s="80" t="s">
        <v>72</v>
      </c>
      <c r="D30" s="50" t="s">
        <v>385</v>
      </c>
      <c r="E30" s="51">
        <f>K22+M13</f>
        <v>280.47</v>
      </c>
      <c r="F30" s="377"/>
      <c r="G30" s="52">
        <f t="shared" si="1"/>
        <v>0</v>
      </c>
      <c r="H30" s="7"/>
      <c r="I30" s="34"/>
      <c r="J30" s="34"/>
      <c r="K30" s="34"/>
    </row>
    <row r="31" spans="1:11" ht="16.5">
      <c r="A31" s="48">
        <v>13</v>
      </c>
      <c r="B31" s="357"/>
      <c r="C31" s="49" t="s">
        <v>387</v>
      </c>
      <c r="D31" s="48" t="s">
        <v>386</v>
      </c>
      <c r="E31" s="48">
        <f>M11*4</f>
        <v>284</v>
      </c>
      <c r="F31" s="377"/>
      <c r="G31" s="52">
        <f t="shared" si="1"/>
        <v>0</v>
      </c>
      <c r="H31" s="7"/>
      <c r="I31" s="34"/>
      <c r="J31" s="34"/>
      <c r="K31" s="34"/>
    </row>
    <row r="32" spans="1:11" ht="15" customHeight="1">
      <c r="A32" s="48">
        <v>14</v>
      </c>
      <c r="B32" s="357"/>
      <c r="C32" s="80" t="s">
        <v>42</v>
      </c>
      <c r="D32" s="50" t="s">
        <v>385</v>
      </c>
      <c r="E32" s="51">
        <f>0.1*1.1*E34</f>
        <v>7.810000000000001</v>
      </c>
      <c r="F32" s="377"/>
      <c r="G32" s="52">
        <f t="shared" si="1"/>
        <v>0</v>
      </c>
      <c r="H32" s="7"/>
      <c r="I32" s="34"/>
      <c r="J32" s="34"/>
      <c r="K32" s="34"/>
    </row>
    <row r="33" spans="1:11" ht="42.75">
      <c r="A33" s="48">
        <v>15</v>
      </c>
      <c r="B33" s="357"/>
      <c r="C33" s="53" t="s">
        <v>43</v>
      </c>
      <c r="D33" s="50" t="s">
        <v>385</v>
      </c>
      <c r="E33" s="51">
        <f>E30-E32-E43-5.02</f>
        <v>227.11</v>
      </c>
      <c r="F33" s="377"/>
      <c r="G33" s="52">
        <f t="shared" si="1"/>
        <v>0</v>
      </c>
      <c r="H33" s="7"/>
      <c r="I33" s="34"/>
      <c r="J33" s="34"/>
      <c r="K33" s="34"/>
    </row>
    <row r="34" spans="1:11" ht="14.25">
      <c r="A34" s="48">
        <v>16</v>
      </c>
      <c r="B34" s="357"/>
      <c r="C34" s="53" t="s">
        <v>291</v>
      </c>
      <c r="D34" s="48" t="s">
        <v>190</v>
      </c>
      <c r="E34" s="48">
        <f>M11</f>
        <v>71</v>
      </c>
      <c r="F34" s="377"/>
      <c r="G34" s="52">
        <f t="shared" si="1"/>
        <v>0</v>
      </c>
      <c r="H34" s="7"/>
      <c r="I34" s="34"/>
      <c r="J34" s="34"/>
      <c r="K34" s="51"/>
    </row>
    <row r="35" spans="1:15" s="30" customFormat="1" ht="28.5">
      <c r="A35" s="48">
        <v>17</v>
      </c>
      <c r="B35" s="357"/>
      <c r="C35" s="53" t="s">
        <v>309</v>
      </c>
      <c r="D35" s="48" t="s">
        <v>191</v>
      </c>
      <c r="E35" s="48">
        <v>2</v>
      </c>
      <c r="F35" s="377"/>
      <c r="G35" s="52">
        <f t="shared" si="1"/>
        <v>0</v>
      </c>
      <c r="H35" s="7"/>
      <c r="I35" s="29"/>
      <c r="J35" s="29"/>
      <c r="K35" s="29"/>
      <c r="L35" s="29"/>
      <c r="N35" s="29"/>
      <c r="O35" s="29"/>
    </row>
    <row r="36" spans="1:8" ht="15" customHeight="1">
      <c r="A36" s="48">
        <v>18</v>
      </c>
      <c r="B36" s="357"/>
      <c r="C36" s="53" t="s">
        <v>200</v>
      </c>
      <c r="D36" s="48" t="s">
        <v>191</v>
      </c>
      <c r="E36" s="48">
        <f>M8</f>
        <v>4</v>
      </c>
      <c r="F36" s="377"/>
      <c r="G36" s="52">
        <f t="shared" si="1"/>
        <v>0</v>
      </c>
      <c r="H36" s="7"/>
    </row>
    <row r="37" spans="1:11" ht="14.25">
      <c r="A37" s="48">
        <v>19</v>
      </c>
      <c r="B37" s="357"/>
      <c r="C37" s="49" t="s">
        <v>192</v>
      </c>
      <c r="D37" s="48" t="s">
        <v>193</v>
      </c>
      <c r="E37" s="51">
        <f>40*M11/2000</f>
        <v>1.42</v>
      </c>
      <c r="F37" s="377"/>
      <c r="G37" s="52">
        <f t="shared" si="1"/>
        <v>0</v>
      </c>
      <c r="H37" s="7"/>
      <c r="I37" s="30"/>
      <c r="J37" s="30"/>
      <c r="K37" s="30"/>
    </row>
    <row r="38" spans="1:8" ht="14.25">
      <c r="A38" s="48">
        <v>20</v>
      </c>
      <c r="B38" s="357"/>
      <c r="C38" s="95" t="s">
        <v>282</v>
      </c>
      <c r="D38" s="48" t="s">
        <v>190</v>
      </c>
      <c r="E38" s="51">
        <f>E17</f>
        <v>4</v>
      </c>
      <c r="F38" s="377"/>
      <c r="G38" s="52">
        <f t="shared" si="1"/>
        <v>0</v>
      </c>
      <c r="H38" s="7"/>
    </row>
    <row r="39" spans="1:13" ht="16.5">
      <c r="A39" s="48">
        <v>21</v>
      </c>
      <c r="B39" s="357"/>
      <c r="C39" s="95" t="s">
        <v>283</v>
      </c>
      <c r="D39" s="48" t="s">
        <v>386</v>
      </c>
      <c r="E39" s="51">
        <f>E18</f>
        <v>6</v>
      </c>
      <c r="F39" s="377"/>
      <c r="G39" s="52">
        <f t="shared" si="1"/>
        <v>0</v>
      </c>
      <c r="H39" s="7"/>
      <c r="M39" s="34"/>
    </row>
    <row r="40" spans="1:15" s="30" customFormat="1" ht="28.5">
      <c r="A40" s="48">
        <v>22</v>
      </c>
      <c r="B40" s="357"/>
      <c r="C40" s="77" t="s">
        <v>293</v>
      </c>
      <c r="D40" s="48" t="s">
        <v>195</v>
      </c>
      <c r="E40" s="82">
        <f>(E15+E16)*96/1000</f>
        <v>12.9792</v>
      </c>
      <c r="F40" s="377"/>
      <c r="G40" s="52">
        <f t="shared" si="1"/>
        <v>0</v>
      </c>
      <c r="H40" s="34"/>
      <c r="I40" s="34"/>
      <c r="J40" s="29"/>
      <c r="N40" s="34"/>
      <c r="O40" s="29"/>
    </row>
    <row r="41" spans="1:14" ht="28.5">
      <c r="A41" s="48">
        <v>23</v>
      </c>
      <c r="B41" s="357"/>
      <c r="C41" s="77" t="s">
        <v>294</v>
      </c>
      <c r="D41" s="48" t="s">
        <v>195</v>
      </c>
      <c r="E41" s="82">
        <f>E40</f>
        <v>12.9792</v>
      </c>
      <c r="F41" s="377"/>
      <c r="G41" s="52">
        <f t="shared" si="1"/>
        <v>0</v>
      </c>
      <c r="H41" s="34"/>
      <c r="I41" s="34"/>
      <c r="N41" s="34"/>
    </row>
    <row r="42" spans="1:16" s="30" customFormat="1" ht="28.5">
      <c r="A42" s="48">
        <v>24</v>
      </c>
      <c r="B42" s="357"/>
      <c r="C42" s="53" t="s">
        <v>295</v>
      </c>
      <c r="D42" s="83" t="s">
        <v>195</v>
      </c>
      <c r="E42" s="82">
        <f>(E15+E16)*0.06*2.4</f>
        <v>19.468799999999998</v>
      </c>
      <c r="F42" s="377"/>
      <c r="G42" s="52">
        <f>E42*F42</f>
        <v>0</v>
      </c>
      <c r="H42" s="7"/>
      <c r="I42" s="29"/>
      <c r="J42" s="29"/>
      <c r="K42" s="29"/>
      <c r="L42" s="29"/>
      <c r="M42" s="29"/>
      <c r="N42" s="29"/>
      <c r="O42" s="29"/>
      <c r="P42" s="29"/>
    </row>
    <row r="43" spans="1:14" ht="28.5">
      <c r="A43" s="48">
        <v>25</v>
      </c>
      <c r="B43" s="357"/>
      <c r="C43" s="53" t="s">
        <v>298</v>
      </c>
      <c r="D43" s="83" t="s">
        <v>385</v>
      </c>
      <c r="E43" s="84">
        <v>40.53</v>
      </c>
      <c r="F43" s="377"/>
      <c r="G43" s="52">
        <f>E43*F43</f>
        <v>0</v>
      </c>
      <c r="H43" s="7"/>
      <c r="N43" s="3"/>
    </row>
    <row r="44" spans="1:16" s="2" customFormat="1" ht="14.25">
      <c r="A44" s="48">
        <v>26</v>
      </c>
      <c r="B44" s="357"/>
      <c r="C44" s="77" t="s">
        <v>194</v>
      </c>
      <c r="D44" s="74" t="s">
        <v>190</v>
      </c>
      <c r="E44" s="85">
        <f>E13+E14</f>
        <v>178</v>
      </c>
      <c r="F44" s="377"/>
      <c r="G44" s="52">
        <f t="shared" si="1"/>
        <v>0</v>
      </c>
      <c r="H44" s="7"/>
      <c r="I44" s="29"/>
      <c r="J44" s="29"/>
      <c r="K44" s="29"/>
      <c r="L44" s="29"/>
      <c r="M44" s="29"/>
      <c r="N44" s="30"/>
      <c r="O44" s="29"/>
      <c r="P44" s="6"/>
    </row>
    <row r="45" spans="1:16" s="2" customFormat="1" ht="14.25">
      <c r="A45" s="48">
        <v>27</v>
      </c>
      <c r="B45" s="357"/>
      <c r="C45" s="55" t="s">
        <v>201</v>
      </c>
      <c r="D45" s="50" t="s">
        <v>190</v>
      </c>
      <c r="E45" s="50">
        <f>M11</f>
        <v>71</v>
      </c>
      <c r="F45" s="377"/>
      <c r="G45" s="52">
        <f t="shared" si="1"/>
        <v>0</v>
      </c>
      <c r="H45" s="7"/>
      <c r="I45" s="29"/>
      <c r="J45" s="29"/>
      <c r="K45" s="29"/>
      <c r="L45" s="29"/>
      <c r="M45" s="29"/>
      <c r="N45" s="29"/>
      <c r="O45" s="3"/>
      <c r="P45" s="30"/>
    </row>
    <row r="46" spans="5:8" ht="15">
      <c r="E46" s="57"/>
      <c r="F46" s="58" t="s">
        <v>364</v>
      </c>
      <c r="G46" s="59">
        <f>SUM(G13:G45)</f>
        <v>0</v>
      </c>
      <c r="H46" s="7"/>
    </row>
    <row r="47" spans="5:8" ht="15">
      <c r="E47" s="484" t="s">
        <v>206</v>
      </c>
      <c r="F47" s="484"/>
      <c r="G47" s="59">
        <f>G46*0.2</f>
        <v>0</v>
      </c>
      <c r="H47" s="7"/>
    </row>
    <row r="48" spans="3:7" ht="15">
      <c r="C48" s="26"/>
      <c r="E48" s="57"/>
      <c r="F48" s="60" t="s">
        <v>365</v>
      </c>
      <c r="G48" s="59">
        <f>SUM(G46:G47)</f>
        <v>0</v>
      </c>
    </row>
    <row r="49" spans="3:5" ht="14.25">
      <c r="C49" s="61"/>
      <c r="D49" s="62"/>
      <c r="E49" s="62"/>
    </row>
    <row r="50" spans="2:16" ht="18.75">
      <c r="B50" s="63" t="s">
        <v>370</v>
      </c>
      <c r="C50" s="64" t="s">
        <v>371</v>
      </c>
      <c r="D50" s="62"/>
      <c r="E50" s="62"/>
      <c r="H50" s="28"/>
      <c r="I50" s="28"/>
      <c r="J50" s="28"/>
      <c r="K50" s="28"/>
      <c r="L50" s="28"/>
      <c r="M50" s="28"/>
      <c r="N50" s="28"/>
      <c r="O50" s="28"/>
      <c r="P50" s="28"/>
    </row>
    <row r="51" spans="8:16" ht="14.25">
      <c r="H51" s="28"/>
      <c r="I51" s="28"/>
      <c r="J51" s="28"/>
      <c r="K51" s="28"/>
      <c r="L51" s="28"/>
      <c r="M51" s="28"/>
      <c r="N51" s="28"/>
      <c r="O51" s="28"/>
      <c r="P51" s="28"/>
    </row>
    <row r="52" spans="8:16" ht="15" customHeight="1">
      <c r="H52" s="28"/>
      <c r="I52" s="28"/>
      <c r="J52" s="28"/>
      <c r="K52" s="28"/>
      <c r="L52" s="28"/>
      <c r="M52" s="28"/>
      <c r="N52" s="28"/>
      <c r="O52" s="28"/>
      <c r="P52" s="28"/>
    </row>
    <row r="53" spans="8:16" ht="14.25">
      <c r="H53" s="28"/>
      <c r="I53" s="28"/>
      <c r="J53" s="28"/>
      <c r="K53" s="28"/>
      <c r="L53" s="28"/>
      <c r="M53" s="28"/>
      <c r="N53" s="28"/>
      <c r="O53" s="28"/>
      <c r="P53" s="28"/>
    </row>
    <row r="54" spans="1:6" s="67" customFormat="1" ht="15">
      <c r="A54" s="65" t="s">
        <v>373</v>
      </c>
      <c r="B54" s="2"/>
      <c r="C54" s="65"/>
      <c r="D54" s="66" t="s">
        <v>374</v>
      </c>
      <c r="E54" s="24"/>
      <c r="F54" s="426"/>
    </row>
    <row r="55" spans="1:6" s="67" customFormat="1" ht="12.75">
      <c r="A55" s="11"/>
      <c r="B55" s="2"/>
      <c r="C55" s="11"/>
      <c r="D55" s="2"/>
      <c r="E55" s="24"/>
      <c r="F55" s="426"/>
    </row>
    <row r="56" spans="1:6" s="67" customFormat="1" ht="14.25">
      <c r="A56" s="11"/>
      <c r="B56" s="2"/>
      <c r="C56" s="68"/>
      <c r="D56" s="69" t="s">
        <v>375</v>
      </c>
      <c r="E56" s="24"/>
      <c r="F56" s="426"/>
    </row>
    <row r="57" spans="1:6" s="67" customFormat="1" ht="12.75">
      <c r="A57" s="11"/>
      <c r="B57" s="2"/>
      <c r="C57" s="11"/>
      <c r="D57" s="2"/>
      <c r="E57" s="70" t="s">
        <v>376</v>
      </c>
      <c r="F57" s="426"/>
    </row>
    <row r="58" spans="1:6" s="67" customFormat="1" ht="14.25">
      <c r="A58" s="11"/>
      <c r="B58" s="2"/>
      <c r="C58" s="68"/>
      <c r="D58" s="69" t="s">
        <v>377</v>
      </c>
      <c r="E58" s="24"/>
      <c r="F58" s="426"/>
    </row>
    <row r="59" spans="1:6" s="67" customFormat="1" ht="12.75">
      <c r="A59" s="11"/>
      <c r="B59" s="2"/>
      <c r="C59" s="11"/>
      <c r="D59" s="71" t="s">
        <v>378</v>
      </c>
      <c r="E59" s="24"/>
      <c r="F59" s="426"/>
    </row>
  </sheetData>
  <sheetProtection sheet="1" formatCells="0" formatColumns="0" formatRows="0" insertColumns="0" insertRows="0" insertHyperlinks="0" deleteColumns="0" deleteRows="0"/>
  <protectedRanges>
    <protectedRange password="CF7A" sqref="A50:E59" name="Range1"/>
    <protectedRange password="CF7A" sqref="A9:A12 C9:E12 B9:B10 B12" name="Range1_2"/>
    <protectedRange password="CF7A" sqref="F47 E46:E48" name="Range1_1"/>
    <protectedRange password="CF7A" sqref="A6:E7" name="Range1_3"/>
  </protectedRanges>
  <mergeCells count="19">
    <mergeCell ref="A4:B4"/>
    <mergeCell ref="C4:G4"/>
    <mergeCell ref="C5:G5"/>
    <mergeCell ref="E10:E11"/>
    <mergeCell ref="F10:F11"/>
    <mergeCell ref="G10:G11"/>
    <mergeCell ref="F6:F7"/>
    <mergeCell ref="C10:C11"/>
    <mergeCell ref="D10:D11"/>
    <mergeCell ref="C1:G1"/>
    <mergeCell ref="C3:G3"/>
    <mergeCell ref="E47:F47"/>
    <mergeCell ref="A24:A27"/>
    <mergeCell ref="A20:A23"/>
    <mergeCell ref="A6:E7"/>
    <mergeCell ref="A9:E9"/>
    <mergeCell ref="A8:G8"/>
    <mergeCell ref="A10:A11"/>
    <mergeCell ref="B10:B11"/>
  </mergeCells>
  <printOptions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Dobri</dc:creator>
  <cp:keywords/>
  <dc:description/>
  <cp:lastModifiedBy>Bankov</cp:lastModifiedBy>
  <cp:lastPrinted>2013-02-05T15:32:58Z</cp:lastPrinted>
  <dcterms:created xsi:type="dcterms:W3CDTF">2006-06-04T18:06:26Z</dcterms:created>
  <dcterms:modified xsi:type="dcterms:W3CDTF">2013-02-05T15:36:09Z</dcterms:modified>
  <cp:category/>
  <cp:version/>
  <cp:contentType/>
  <cp:contentStatus/>
</cp:coreProperties>
</file>